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PLANEACION\OneDrive - vnd15\2024\PLANES ESTRATÉGICOS 2024\PLANEACIÓN\POAI\"/>
    </mc:Choice>
  </mc:AlternateContent>
  <xr:revisionPtr revIDLastSave="0" documentId="13_ncr:1_{5C080B99-7450-459A-886D-7A10AA9D9A7D}" xr6:coauthVersionLast="40" xr6:coauthVersionMax="47" xr10:uidLastSave="{00000000-0000-0000-0000-000000000000}"/>
  <bookViews>
    <workbookView xWindow="0" yWindow="0" windowWidth="23040" windowHeight="8064" firstSheet="1" activeTab="1" xr2:uid="{216B0E78-182E-4562-89D3-C6190E30ACD9}"/>
  </bookViews>
  <sheets>
    <sheet name="POAI PROYECTADO 2023" sheetId="1" state="hidden" r:id="rId1"/>
    <sheet name="POAI PROYECTADO 2024" sheetId="12" r:id="rId2"/>
    <sheet name="CONTROL DE CAMBIOS" sheetId="9" r:id="rId3"/>
    <sheet name="GASTOS DE PLAYA AZUL" sheetId="18" r:id="rId4"/>
    <sheet name="PERSONAL APOYO" sheetId="17" r:id="rId5"/>
    <sheet name="PPTO 2024" sheetId="10" r:id="rId6"/>
    <sheet name="Hoja3" sheetId="11" state="hidden" r:id="rId7"/>
    <sheet name="PERSONAL 123 2024" sheetId="13" r:id="rId8"/>
    <sheet name="GF 2024" sheetId="14" state="hidden" r:id="rId9"/>
    <sheet name="INV 2024" sheetId="15" state="hidden" r:id="rId10"/>
    <sheet name="OPS" sheetId="6" state="hidden" r:id="rId11"/>
    <sheet name="Hoja1" sheetId="8" state="hidden" r:id="rId12"/>
    <sheet name="INVERSION 2023" sheetId="2" state="hidden" r:id="rId13"/>
    <sheet name="ARRIENDOS" sheetId="4" state="hidden" r:id="rId14"/>
    <sheet name="ESTACIONES Y CAI" sheetId="5" state="hidden" r:id="rId15"/>
    <sheet name="COMISION RECAUDO" sheetId="7" state="hidden" r:id="rId16"/>
  </sheets>
  <definedNames>
    <definedName name="_xlnm._FilterDatabase" localSheetId="13" hidden="1">ARRIENDOS!$A$1:$C$20</definedName>
    <definedName name="_xlnm.Print_Area" localSheetId="0">'POAI PROYECTADO 2023'!$A$1:$I$98</definedName>
    <definedName name="_xlnm.Print_Area" localSheetId="1">'POAI PROYECTADO 2024'!$A$1:$I$66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12" l="1"/>
  <c r="I4" i="12" l="1"/>
  <c r="F55" i="12" l="1"/>
  <c r="D103" i="9" l="1"/>
  <c r="D100" i="9"/>
  <c r="D99" i="9"/>
  <c r="D101" i="9" l="1"/>
  <c r="E100" i="9"/>
  <c r="C101" i="9"/>
  <c r="F35" i="12"/>
  <c r="H39" i="12"/>
  <c r="E99" i="9" l="1"/>
  <c r="E101" i="9" s="1"/>
  <c r="D68" i="9"/>
  <c r="D69" i="9" s="1"/>
  <c r="C69" i="9"/>
  <c r="D34" i="9"/>
  <c r="D35" i="9" s="1"/>
  <c r="C35" i="9"/>
  <c r="H38" i="12"/>
  <c r="F21" i="12"/>
  <c r="H21" i="12" s="1"/>
  <c r="J35" i="12"/>
  <c r="E69" i="9" l="1"/>
  <c r="E68" i="9"/>
  <c r="E34" i="9"/>
  <c r="E35" i="9" s="1"/>
  <c r="H49" i="12" l="1"/>
  <c r="E2" i="18"/>
  <c r="C6" i="18"/>
  <c r="F19" i="12"/>
  <c r="D22" i="9" s="1"/>
  <c r="E22" i="9" s="1"/>
  <c r="F15" i="12"/>
  <c r="D12" i="9" s="1"/>
  <c r="E12" i="9" s="1"/>
  <c r="C40" i="9"/>
  <c r="D39" i="9"/>
  <c r="D40" i="9" s="1"/>
  <c r="H27" i="12"/>
  <c r="F32" i="12"/>
  <c r="H32" i="12" s="1"/>
  <c r="F14" i="12"/>
  <c r="M18" i="12"/>
  <c r="F16" i="12"/>
  <c r="D15" i="9" s="1"/>
  <c r="D17" i="9" s="1"/>
  <c r="C32" i="9"/>
  <c r="D32" i="9"/>
  <c r="H22" i="12"/>
  <c r="G3" i="18"/>
  <c r="G4" i="18"/>
  <c r="H54" i="12"/>
  <c r="E103" i="9"/>
  <c r="C4" i="17"/>
  <c r="C29" i="9"/>
  <c r="D8" i="9"/>
  <c r="E8" i="9" s="1"/>
  <c r="E9" i="9" s="1"/>
  <c r="D28" i="9"/>
  <c r="E28" i="9" s="1"/>
  <c r="E29" i="9" s="1"/>
  <c r="E31" i="9"/>
  <c r="E32" i="9"/>
  <c r="D97" i="9"/>
  <c r="C97" i="9"/>
  <c r="E96" i="9"/>
  <c r="E97" i="9"/>
  <c r="H53" i="12"/>
  <c r="H13" i="12"/>
  <c r="F11" i="12"/>
  <c r="H11" i="12"/>
  <c r="E25" i="9"/>
  <c r="E26" i="9" s="1"/>
  <c r="C86" i="9"/>
  <c r="F47" i="12"/>
  <c r="F48" i="12"/>
  <c r="K45" i="12" s="1"/>
  <c r="C3" i="17"/>
  <c r="H20" i="12"/>
  <c r="D59" i="9"/>
  <c r="E59" i="9" s="1"/>
  <c r="D81" i="9"/>
  <c r="D82" i="9" s="1"/>
  <c r="D77" i="9"/>
  <c r="D78" i="9" s="1"/>
  <c r="D74" i="9"/>
  <c r="E74" i="9" s="1"/>
  <c r="D66" i="9"/>
  <c r="C66" i="9"/>
  <c r="E65" i="9"/>
  <c r="H37" i="12"/>
  <c r="H46" i="12"/>
  <c r="D26" i="9"/>
  <c r="C26" i="9"/>
  <c r="D57" i="9"/>
  <c r="C57" i="9"/>
  <c r="E56" i="9"/>
  <c r="E55" i="9"/>
  <c r="E57" i="9"/>
  <c r="C43" i="9"/>
  <c r="D43" i="9"/>
  <c r="H36" i="12"/>
  <c r="H35" i="12"/>
  <c r="H33" i="12"/>
  <c r="D22" i="10"/>
  <c r="E22" i="10"/>
  <c r="F22" i="10"/>
  <c r="G22" i="10"/>
  <c r="C22" i="10"/>
  <c r="K56" i="12"/>
  <c r="H45" i="12"/>
  <c r="H44" i="12"/>
  <c r="K29" i="12"/>
  <c r="M12" i="12"/>
  <c r="M13" i="12" s="1"/>
  <c r="F12" i="12"/>
  <c r="H12" i="12" s="1"/>
  <c r="F10" i="13"/>
  <c r="F9" i="13"/>
  <c r="H29" i="12"/>
  <c r="J5" i="13"/>
  <c r="J2" i="13"/>
  <c r="J8" i="13"/>
  <c r="F6" i="13"/>
  <c r="H18" i="12"/>
  <c r="F2" i="13"/>
  <c r="F13" i="13"/>
  <c r="H21" i="10"/>
  <c r="H20" i="10"/>
  <c r="H19" i="10"/>
  <c r="H18" i="10"/>
  <c r="F40" i="1"/>
  <c r="H39" i="1"/>
  <c r="H37" i="1"/>
  <c r="C105" i="9"/>
  <c r="C94" i="9"/>
  <c r="C89" i="9"/>
  <c r="C82" i="9"/>
  <c r="C78" i="9"/>
  <c r="C75" i="9"/>
  <c r="C72" i="9"/>
  <c r="C63" i="9"/>
  <c r="C60" i="9"/>
  <c r="C53" i="9"/>
  <c r="C49" i="9"/>
  <c r="C46" i="9"/>
  <c r="C23" i="9"/>
  <c r="C20" i="9"/>
  <c r="C17" i="9"/>
  <c r="C13" i="9"/>
  <c r="C9" i="9"/>
  <c r="C6" i="9"/>
  <c r="C3" i="9"/>
  <c r="H7" i="11"/>
  <c r="G7" i="11"/>
  <c r="E6" i="11"/>
  <c r="E5" i="11"/>
  <c r="E4" i="11"/>
  <c r="E2" i="11"/>
  <c r="F13" i="1"/>
  <c r="H22" i="10"/>
  <c r="C29" i="10"/>
  <c r="C30" i="10"/>
  <c r="C32" i="10"/>
  <c r="D3" i="9"/>
  <c r="E7" i="11"/>
  <c r="C31" i="10"/>
  <c r="H45" i="1"/>
  <c r="F54" i="1"/>
  <c r="H78" i="1"/>
  <c r="D94" i="9"/>
  <c r="E93" i="9"/>
  <c r="E94" i="9" s="1"/>
  <c r="D89" i="9"/>
  <c r="E89" i="9" s="1"/>
  <c r="E88" i="9"/>
  <c r="D86" i="9"/>
  <c r="E84" i="9"/>
  <c r="E85" i="9"/>
  <c r="D63" i="9"/>
  <c r="E63" i="9" s="1"/>
  <c r="E62" i="9"/>
  <c r="D53" i="9"/>
  <c r="E52" i="9"/>
  <c r="E51" i="9"/>
  <c r="E48" i="9"/>
  <c r="D49" i="9"/>
  <c r="E49" i="9" s="1"/>
  <c r="D46" i="9"/>
  <c r="E46" i="9" s="1"/>
  <c r="E45" i="9"/>
  <c r="E42" i="9"/>
  <c r="E38" i="9"/>
  <c r="E40" i="9" s="1"/>
  <c r="D20" i="9"/>
  <c r="D6" i="9"/>
  <c r="E19" i="9"/>
  <c r="E20" i="9" s="1"/>
  <c r="E16" i="9"/>
  <c r="E11" i="9"/>
  <c r="E5" i="9"/>
  <c r="E6" i="9" s="1"/>
  <c r="E2" i="9"/>
  <c r="E3" i="9" s="1"/>
  <c r="E53" i="9"/>
  <c r="H65" i="1"/>
  <c r="F64" i="1"/>
  <c r="F29" i="1"/>
  <c r="H30" i="1"/>
  <c r="F11" i="1"/>
  <c r="F27" i="1"/>
  <c r="H24" i="1"/>
  <c r="H51" i="1"/>
  <c r="H52" i="1"/>
  <c r="H53" i="1"/>
  <c r="H27" i="1"/>
  <c r="F50" i="1"/>
  <c r="F88" i="1"/>
  <c r="F84" i="1"/>
  <c r="F34" i="1"/>
  <c r="F21" i="1"/>
  <c r="F14" i="1"/>
  <c r="H79" i="1"/>
  <c r="H71" i="1"/>
  <c r="F55" i="1"/>
  <c r="F47" i="1"/>
  <c r="F44" i="1"/>
  <c r="H20" i="1"/>
  <c r="F17" i="1"/>
  <c r="H83" i="1"/>
  <c r="H54" i="1"/>
  <c r="H38" i="1"/>
  <c r="H86" i="1"/>
  <c r="I83" i="1"/>
  <c r="H66" i="1"/>
  <c r="C2" i="8"/>
  <c r="F15" i="1"/>
  <c r="H16" i="1"/>
  <c r="H17" i="1"/>
  <c r="H22" i="1"/>
  <c r="F33" i="1"/>
  <c r="H32" i="1"/>
  <c r="H11" i="1"/>
  <c r="H49" i="1"/>
  <c r="H47" i="1"/>
  <c r="H30" i="12"/>
  <c r="F63" i="1"/>
  <c r="H63" i="1"/>
  <c r="C2" i="4"/>
  <c r="B20" i="4"/>
  <c r="F31" i="1"/>
  <c r="H31" i="1"/>
  <c r="I11" i="1"/>
  <c r="I10" i="1"/>
  <c r="C4" i="7"/>
  <c r="C5" i="7"/>
  <c r="C6" i="7"/>
  <c r="F70" i="1"/>
  <c r="B3" i="6"/>
  <c r="C3" i="6"/>
  <c r="F62" i="1"/>
  <c r="D12" i="5"/>
  <c r="D5" i="5"/>
  <c r="E5" i="5"/>
  <c r="C5" i="5"/>
  <c r="C3" i="4"/>
  <c r="C4" i="4"/>
  <c r="C5" i="4"/>
  <c r="C6" i="4"/>
  <c r="C23" i="4"/>
  <c r="C7" i="4"/>
  <c r="C8" i="4"/>
  <c r="C9" i="4"/>
  <c r="C10" i="4"/>
  <c r="C11" i="4"/>
  <c r="C12" i="4"/>
  <c r="C13" i="4"/>
  <c r="C14" i="4"/>
  <c r="C15" i="4"/>
  <c r="C16" i="4"/>
  <c r="C17" i="4"/>
  <c r="C18" i="4"/>
  <c r="C19" i="4"/>
  <c r="H44" i="1"/>
  <c r="F48" i="1"/>
  <c r="H48" i="1"/>
  <c r="C20" i="4"/>
  <c r="H70" i="1"/>
  <c r="B7" i="6"/>
  <c r="H62" i="1"/>
  <c r="H61" i="1"/>
  <c r="I44" i="1"/>
  <c r="H31" i="12"/>
  <c r="I61" i="1"/>
  <c r="I60" i="1"/>
  <c r="I82" i="1"/>
  <c r="I80" i="1"/>
  <c r="B8" i="6"/>
  <c r="B6" i="6"/>
  <c r="B9" i="6"/>
  <c r="I58" i="1"/>
  <c r="I8" i="1"/>
  <c r="G9" i="2"/>
  <c r="G8" i="2"/>
  <c r="G7" i="2"/>
  <c r="G6" i="2"/>
  <c r="F5" i="2"/>
  <c r="F4" i="2"/>
  <c r="F3" i="2"/>
  <c r="E5" i="2"/>
  <c r="E4" i="2"/>
  <c r="E3" i="2"/>
  <c r="D5" i="2"/>
  <c r="D4" i="2"/>
  <c r="D3" i="2"/>
  <c r="C5" i="2"/>
  <c r="C4" i="2"/>
  <c r="C3" i="2"/>
  <c r="B5" i="2"/>
  <c r="B4" i="2"/>
  <c r="B3" i="2"/>
  <c r="I43" i="1"/>
  <c r="G5" i="2"/>
  <c r="G4" i="2"/>
  <c r="G3" i="2"/>
  <c r="I4" i="1"/>
  <c r="I41" i="1"/>
  <c r="F43" i="12" l="1"/>
  <c r="D71" i="9" s="1"/>
  <c r="D72" i="9" s="1"/>
  <c r="E72" i="9" s="1"/>
  <c r="C8" i="18"/>
  <c r="C9" i="18" s="1"/>
  <c r="I53" i="12"/>
  <c r="I52" i="12" s="1"/>
  <c r="I50" i="12" s="1"/>
  <c r="D105" i="9"/>
  <c r="E66" i="9"/>
  <c r="E13" i="9"/>
  <c r="E86" i="9"/>
  <c r="E43" i="9"/>
  <c r="E82" i="9"/>
  <c r="K17" i="12"/>
  <c r="H47" i="12"/>
  <c r="C2" i="17"/>
  <c r="C5" i="17" s="1"/>
  <c r="K19" i="12"/>
  <c r="H14" i="12"/>
  <c r="I27" i="12"/>
  <c r="I26" i="12" s="1"/>
  <c r="I24" i="12" s="1"/>
  <c r="L29" i="12"/>
  <c r="L30" i="12" s="1"/>
  <c r="H16" i="12"/>
  <c r="K12" i="12"/>
  <c r="K13" i="12" s="1"/>
  <c r="H19" i="12"/>
  <c r="L12" i="12"/>
  <c r="L13" i="12" s="1"/>
  <c r="E77" i="9"/>
  <c r="E78" i="9" s="1"/>
  <c r="E81" i="9"/>
  <c r="E15" i="9"/>
  <c r="E17" i="9" s="1"/>
  <c r="E71" i="9"/>
  <c r="D9" i="9"/>
  <c r="D13" i="9"/>
  <c r="D60" i="9"/>
  <c r="E60" i="9" s="1"/>
  <c r="E39" i="9"/>
  <c r="D23" i="9"/>
  <c r="D29" i="9"/>
  <c r="D75" i="9"/>
  <c r="E75" i="9" s="1"/>
  <c r="E105" i="9"/>
  <c r="H43" i="12" l="1"/>
  <c r="I43" i="12" s="1"/>
  <c r="J46" i="12" s="1"/>
  <c r="L45" i="12"/>
  <c r="I11" i="12"/>
  <c r="L19" i="12"/>
  <c r="I10" i="12"/>
  <c r="I8" i="12" s="1"/>
  <c r="I42" i="12" l="1"/>
  <c r="I4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Planeacion</author>
    <author>ENRIQUE BRIEVA</author>
    <author>planeacion</author>
  </authors>
  <commentList>
    <comment ref="F11" authorId="0" shapeId="0" xr:uid="{EE213DBD-6ED4-4855-BE0F-0572F666E486}">
      <text>
        <r>
          <rPr>
            <b/>
            <sz val="9"/>
            <color indexed="81"/>
            <rFont val="Tahoma"/>
            <family val="2"/>
          </rPr>
          <t>Planeacion:</t>
        </r>
        <r>
          <rPr>
            <sz val="9"/>
            <color indexed="81"/>
            <rFont val="Tahoma"/>
            <family val="2"/>
          </rPr>
          <t xml:space="preserve">
Se suman $66.557.269.428571 del punto 1.6</t>
        </r>
      </text>
    </comment>
    <comment ref="H11" authorId="0" shapeId="0" xr:uid="{234696F4-6627-4294-9639-8D6D65A21762}">
      <text>
        <r>
          <rPr>
            <b/>
            <sz val="9"/>
            <color indexed="81"/>
            <rFont val="Tahoma"/>
            <family val="2"/>
          </rPr>
          <t>Planeacion:</t>
        </r>
        <r>
          <rPr>
            <sz val="9"/>
            <color indexed="81"/>
            <rFont val="Tahoma"/>
            <family val="2"/>
          </rPr>
          <t xml:space="preserve">
Saldo para adicionar: $955.434.503,99</t>
        </r>
      </text>
    </comment>
    <comment ref="F21" authorId="0" shapeId="0" xr:uid="{ADD106D6-A10B-4CCC-BFF0-8F21632D39BE}">
      <text>
        <r>
          <rPr>
            <b/>
            <sz val="9"/>
            <color indexed="81"/>
            <rFont val="Tahoma"/>
            <family val="2"/>
          </rPr>
          <t>Planeacion:</t>
        </r>
        <r>
          <rPr>
            <sz val="9"/>
            <color indexed="81"/>
            <rFont val="Tahoma"/>
            <family val="2"/>
          </rPr>
          <t xml:space="preserve">
Este valor viene de LPR</t>
        </r>
      </text>
    </comment>
    <comment ref="F24" authorId="0" shapeId="0" xr:uid="{D25CE61D-80F2-4427-BE06-0AAD99E1FB83}">
      <text>
        <r>
          <rPr>
            <b/>
            <sz val="9"/>
            <color indexed="81"/>
            <rFont val="Tahoma"/>
            <family val="2"/>
          </rPr>
          <t>Planeacion:</t>
        </r>
        <r>
          <rPr>
            <sz val="9"/>
            <color indexed="81"/>
            <rFont val="Tahoma"/>
            <family val="2"/>
          </rPr>
          <t xml:space="preserve">
Esta fuente vienen de LPR una cantidad de $73.467.504,07</t>
        </r>
      </text>
    </comment>
    <comment ref="F38" authorId="0" shapeId="0" xr:uid="{91D814F0-044B-480F-A5FA-5FDC44B78C2A}">
      <text>
        <r>
          <rPr>
            <b/>
            <sz val="9"/>
            <color indexed="81"/>
            <rFont val="Tahoma"/>
            <family val="2"/>
          </rPr>
          <t>Planeacion:</t>
        </r>
        <r>
          <rPr>
            <sz val="9"/>
            <color indexed="81"/>
            <rFont val="Tahoma"/>
            <family val="2"/>
          </rPr>
          <t xml:space="preserve">
Este valor viene de LPR</t>
        </r>
      </text>
    </comment>
    <comment ref="F47" authorId="1" shapeId="0" xr:uid="{E44EB4E0-2618-472B-A1E1-E443F492DB46}">
      <text>
        <r>
          <rPr>
            <b/>
            <sz val="9"/>
            <color indexed="81"/>
            <rFont val="Tahoma"/>
            <family val="2"/>
          </rPr>
          <t>ENRIQUE BRIEVA:</t>
        </r>
        <r>
          <rPr>
            <sz val="9"/>
            <color indexed="81"/>
            <rFont val="Tahoma"/>
            <family val="2"/>
          </rPr>
          <t xml:space="preserve">
</t>
        </r>
      </text>
    </comment>
    <comment ref="F48" authorId="2" shapeId="0" xr:uid="{FAEA5567-6D68-43FA-9EF4-0EE2C38F0B7D}">
      <text>
        <r>
          <rPr>
            <b/>
            <sz val="9"/>
            <color indexed="81"/>
            <rFont val="Tahoma"/>
            <family val="2"/>
          </rPr>
          <t>planeacion:</t>
        </r>
        <r>
          <rPr>
            <sz val="9"/>
            <color indexed="81"/>
            <rFont val="Tahoma"/>
            <family val="2"/>
          </rPr>
          <t xml:space="preserve">
11 MILLONES DISPONIBLES</t>
        </r>
      </text>
    </comment>
    <comment ref="F50" authorId="0" shapeId="0" xr:uid="{8B881F5D-CBF6-48CB-9567-3B44CCB885BA}">
      <text>
        <r>
          <rPr>
            <b/>
            <sz val="9"/>
            <color indexed="81"/>
            <rFont val="Tahoma"/>
            <family val="2"/>
          </rPr>
          <t>Planeacion:</t>
        </r>
        <r>
          <rPr>
            <sz val="9"/>
            <color indexed="81"/>
            <rFont val="Tahoma"/>
            <family val="2"/>
          </rPr>
          <t xml:space="preserve">
Se restan $769.767.914.9 que van para la actividad 2.7</t>
        </r>
      </text>
    </comment>
    <comment ref="F55" authorId="0" shapeId="0" xr:uid="{ECD20574-A851-446F-BDB3-F7640FE22A7D}">
      <text>
        <r>
          <rPr>
            <b/>
            <sz val="9"/>
            <color indexed="81"/>
            <rFont val="Tahoma"/>
            <family val="2"/>
          </rPr>
          <t>Planeacion:</t>
        </r>
        <r>
          <rPr>
            <sz val="9"/>
            <color indexed="81"/>
            <rFont val="Tahoma"/>
            <family val="2"/>
          </rPr>
          <t xml:space="preserve">
Se suma $1.919.742.5 que se restan del punto 2.1, se suman $20.428.595.6 del punto 2.3. Se suman 88.085.151.1 del punto 2.5. </t>
        </r>
      </text>
    </comment>
    <comment ref="F56" authorId="0" shapeId="0" xr:uid="{C4EF6C62-A0F2-4F77-B038-DB4D5D0E80C8}">
      <text>
        <r>
          <rPr>
            <b/>
            <sz val="9"/>
            <color indexed="81"/>
            <rFont val="Tahoma"/>
            <family val="2"/>
          </rPr>
          <t>Planeacion:</t>
        </r>
        <r>
          <rPr>
            <sz val="9"/>
            <color indexed="81"/>
            <rFont val="Tahoma"/>
            <family val="2"/>
          </rPr>
          <t xml:space="preserve">
Valor de la segunda Incorporación</t>
        </r>
      </text>
    </comment>
    <comment ref="F61" authorId="1" shapeId="0" xr:uid="{AF7A8ACB-2C4C-4C57-AD4C-D511CB2C794B}">
      <text>
        <r>
          <rPr>
            <b/>
            <sz val="9"/>
            <color rgb="FF000000"/>
            <rFont val="Tahoma"/>
            <family val="2"/>
          </rPr>
          <t>ENRIQUE BRIEVA:</t>
        </r>
        <r>
          <rPr>
            <sz val="9"/>
            <color rgb="FF000000"/>
            <rFont val="Tahoma"/>
            <family val="2"/>
          </rPr>
          <t xml:space="preserve">
*CUIDADO MEDIO - AMBIENTAL PLAYA AZUL 2 PERSONAS $40.131.479
* ELEMENTOS DE ASEO Y BIOSEGURIDAD $26.000.000
*ACODAL $25.500.000
*MUESTRAS DE AGUA $0
*RECIBO DE AGUA $24.000.000
Pasaron $62.785.879 al punto 3.6</t>
        </r>
      </text>
    </comment>
    <comment ref="F64" authorId="0" shapeId="0" xr:uid="{6528A543-46AF-4067-818A-F3AB774F1603}">
      <text>
        <r>
          <rPr>
            <b/>
            <sz val="9"/>
            <color indexed="81"/>
            <rFont val="Tahoma"/>
            <family val="2"/>
          </rPr>
          <t>Planeacion:</t>
        </r>
        <r>
          <rPr>
            <sz val="9"/>
            <color indexed="81"/>
            <rFont val="Tahoma"/>
            <family val="2"/>
          </rPr>
          <t xml:space="preserve">
Se pasaron $587.202.642.63 al punto 3.6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ENRIQUE BRIEVA</author>
    <author>planeacion</author>
  </authors>
  <commentList>
    <comment ref="F30" authorId="0" shapeId="0" xr:uid="{CC043172-E7A3-48DE-A78A-968DF884A1BA}">
      <text>
        <r>
          <rPr>
            <b/>
            <sz val="9"/>
            <color indexed="81"/>
            <rFont val="Tahoma"/>
            <family val="2"/>
          </rPr>
          <t>ENRIQUE BRIEVA:</t>
        </r>
        <r>
          <rPr>
            <sz val="9"/>
            <color indexed="81"/>
            <rFont val="Tahoma"/>
            <family val="2"/>
          </rPr>
          <t xml:space="preserve">
</t>
        </r>
      </text>
    </comment>
    <comment ref="F31" authorId="1" shapeId="0" xr:uid="{CCE2B815-08F3-4356-B753-9D90DB093E0D}">
      <text>
        <r>
          <rPr>
            <b/>
            <sz val="9"/>
            <color indexed="81"/>
            <rFont val="Tahoma"/>
            <family val="2"/>
          </rPr>
          <t>planeacion:</t>
        </r>
        <r>
          <rPr>
            <sz val="9"/>
            <color indexed="81"/>
            <rFont val="Tahoma"/>
            <family val="2"/>
          </rPr>
          <t xml:space="preserve">
11 MILLONES DISPONIBLES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E2" authorId="0" shapeId="0" xr:uid="{9C007C30-2525-4DB1-8E7B-0AF750F10B6D}">
      <text>
        <r>
          <rPr>
            <b/>
            <sz val="9"/>
            <color indexed="81"/>
            <rFont val="Tahoma"/>
            <family val="2"/>
          </rPr>
          <t>Planeacion:</t>
        </r>
        <r>
          <rPr>
            <sz val="9"/>
            <color indexed="81"/>
            <rFont val="Tahoma"/>
            <family val="2"/>
          </rPr>
          <t xml:space="preserve">
Se suman $66.557.269.428571 del punto 1.6</t>
        </r>
      </text>
    </comment>
    <comment ref="G2" authorId="0" shapeId="0" xr:uid="{24384B74-3ABF-4B38-BEB0-C3C90AF4AC58}">
      <text>
        <r>
          <rPr>
            <b/>
            <sz val="9"/>
            <color indexed="81"/>
            <rFont val="Tahoma"/>
            <family val="2"/>
          </rPr>
          <t>Planeacion:</t>
        </r>
        <r>
          <rPr>
            <sz val="9"/>
            <color indexed="81"/>
            <rFont val="Tahoma"/>
            <family val="2"/>
          </rPr>
          <t xml:space="preserve">
Saldo para adicionar: $955.434.503,99</t>
        </r>
      </text>
    </comment>
  </commentList>
</comments>
</file>

<file path=xl/sharedStrings.xml><?xml version="1.0" encoding="utf-8"?>
<sst xmlns="http://schemas.openxmlformats.org/spreadsheetml/2006/main" count="556" uniqueCount="275">
  <si>
    <t>037</t>
  </si>
  <si>
    <t>051</t>
  </si>
  <si>
    <t>076</t>
  </si>
  <si>
    <t>084</t>
  </si>
  <si>
    <t>085</t>
  </si>
  <si>
    <t>TOTAL GENERAL</t>
  </si>
  <si>
    <t>GASTOS DE INVERSIÓN 2023</t>
  </si>
  <si>
    <t>1.3.2.3.11-037 - RF ICLD</t>
  </si>
  <si>
    <t>1.2.2.0.00-051 - ICDE DISTRISEGURIDAD 1% IPU</t>
  </si>
  <si>
    <t>1.2.2.0.00-076 - ICDE TELEFONÍA CONMUTADA</t>
  </si>
  <si>
    <t>1.3.2.3.11-084 - RF DISTRISEGURIDAD</t>
  </si>
  <si>
    <t>1.2.2.0.00-085 - ICDE DISTRISEGURIDAD 10% DELINEACIÓN URBANA</t>
  </si>
  <si>
    <t>UNIDAD EJECUTORA 22 DISTRISEGURIDAD</t>
  </si>
  <si>
    <t>10. PILAR: CARTAGENA TRANSPARENTE</t>
  </si>
  <si>
    <t>10.3 LÍNEA ESTRATÉGICA: CONVIVENCIA Y SEGURIDAD PARA LA GOBERNABILIDAD</t>
  </si>
  <si>
    <t>10.3.10 PROGRAMA: VIGILANCIA DE LAS PLAYAS DEL DISTRITO DE CARTAGENA</t>
  </si>
  <si>
    <t>10.3.11 PROGRAMA: CONVIVENCIA PARA LA SEGURIDAD</t>
  </si>
  <si>
    <t>10.3.8 PROGRAMA: IMPLEMENTACIÓN Y SOSTENIMIENTO DE HERRAMIENTAS TECNOLÓGICAS PARA SEGURIDAD Y SOCORRO</t>
  </si>
  <si>
    <t>10.3.9 PROGRAMA: OPTIMIZACIÓN DE LA INFRAESTRUCTURA Y MOVILIDAD DE LOS ORGANISMOS DE SEGURIDAD Y SOCORRO</t>
  </si>
  <si>
    <t>Codigo: FPE - 015</t>
  </si>
  <si>
    <t>Version: 2.0</t>
  </si>
  <si>
    <t>Fecha: 16/01/2020</t>
  </si>
  <si>
    <t>ITEMS</t>
  </si>
  <si>
    <t>TOTAL LINEAS DE INVERSIÓN</t>
  </si>
  <si>
    <t xml:space="preserve">Fecha de Cargue SUIFP: </t>
  </si>
  <si>
    <t>Fecha Registro SUIFP:</t>
  </si>
  <si>
    <t>BPIN:</t>
  </si>
  <si>
    <t>PROGRAMA IMPLEMENTACIÓN Y SOSTENIMIENTO DE HERRAMIENTAS TECNOLÓGICAS PARA SEGURIDAD Y SOCORRO</t>
  </si>
  <si>
    <t>1.1</t>
  </si>
  <si>
    <t>Realizar el pago de la Energía de Cámaras de Video Vigilancia</t>
  </si>
  <si>
    <t>1.3</t>
  </si>
  <si>
    <t>PROYECTO FORTALECIMIENTO LOGÍSTICO PARA LA SEGURIDAD, CONVIVENCIA, JUSTICIA Y SOCORRO EN  CARTAGENA DE INDIAS</t>
  </si>
  <si>
    <t>PROGRAMA OPTIMIZACIÓN DE LA INFRAESTRUCTURA Y MOVILIDAD DE LOS ORGANISMOS DE SEGURIDAD Y SOCORRO</t>
  </si>
  <si>
    <t>2.1</t>
  </si>
  <si>
    <t>Garantizar la Permanencia con infraestructura en modalidad de arriendo de la policía metropolitana de Cartagena (Zona Corregimental y otros)</t>
  </si>
  <si>
    <t>2.2</t>
  </si>
  <si>
    <t>Apoyar con el Pago de servicio de energía infraestructura Policía Metropolitana de Cartagena para la permanencia en la zona corregimental</t>
  </si>
  <si>
    <t>2.4</t>
  </si>
  <si>
    <t>Garantizar logística (Alimentación) para la seguridad del Alcalde Mayor de Cartagena</t>
  </si>
  <si>
    <t>2.5</t>
  </si>
  <si>
    <t>Garantizar el Combustible de los vehículos de Distriseguridad en labores misionales y coadyuvar a los organismos de seguridad y socorro del Distrito</t>
  </si>
  <si>
    <t xml:space="preserve">Garantizar el pago de los derechos de tránsito de los vehículos de Distrseguridad en el marco del proyecto Fortalecimiento Logístico Para La Seguridad, Convivencia, Justicia Y Socorro En Cartagena De Indias con BPIN 2021130010192 </t>
  </si>
  <si>
    <t>PROYECTO IMPLEMENTACIÓN DEL PROGRAMA VIGILANCIA DE LAS PLAYAS DEL DISTRITO DE  CARTAGENA DE INDIAS</t>
  </si>
  <si>
    <t>PROGRAMA VIGILANCIA DE LAS PLAYAS DEL DISTRITO DE  CARTAGENA DE INDIAS</t>
  </si>
  <si>
    <t>Realizar el sostenimiento y reinversión en el Sub - proyecto playa azul la boquilla.</t>
  </si>
  <si>
    <t>Adquisición de seguros de los activos de Distriseguridad</t>
  </si>
  <si>
    <t>Realizar la Compensación de recaudo del convenio telefonía básica conmutada</t>
  </si>
  <si>
    <t>PROYECTO CONSTRUCCIÓN DE CONVIVENCIA PARA LA SEGURIDAD EN CARTAGENA DE INDIAS</t>
  </si>
  <si>
    <t>PROGRAMA CONVIVENCIA PARA LA SEGURIDAD</t>
  </si>
  <si>
    <t>4.1</t>
  </si>
  <si>
    <t>LUIS ENRIQUE ROA MERCHAN</t>
  </si>
  <si>
    <t>DIRECTOR GENERAL</t>
  </si>
  <si>
    <t>DIRECTOR OPERATIVO</t>
  </si>
  <si>
    <t>ELABORÓ: ENRIQUE BRIEVA JURADO</t>
  </si>
  <si>
    <t>PROFESIONAL ESPECIALISTA DE PLANEACIÓN</t>
  </si>
  <si>
    <t>ARRENDAMIENTO No. CO1.PCCNTR.3520709 de 2022. ARRENDAMIENTO DE UN BIEN INMUEBLE TIPO OFICINA QUE SE DESTINARÁ PARA EL FUNCIONAMIENTO Y OPERACIÓN DEL ÁREA DE ARCHIVO Y CORRESPONDENCIA DE DISTRISEGURIDAD. DURACION ONCE 11 MESES.</t>
  </si>
  <si>
    <t>ARRENDAMIENTO No. CO1.PCCNTR.3520620 de 2022. Arrendamiento el bien inmueble ubicado en el corregimiento de Tierra Bomba sector “La Escalera”, que se destinara a la Policía Metropolitana de Cartagena de Indias que presta los servicios de seguridad y vigilancia en dicho corregimiento, con el propósito de fortalecer la seguridad de esta jurisdicción y para el cumplimiento del proyecto “OPTIMIZACIÓN DE LA INFRAESTRUCTURA Y MOVILIDAD DE LA SEGURIDAD DE LOS ORGANISMOS DE SOCORRO”. DURACION ONCE 11 MESES.</t>
  </si>
  <si>
    <t>ARRENDAMIENTO No. CO1.PCCNTR.3520279 de 2022. Arrendamiento de bien inmueble ubicado en el corregimiento de Bayunca, identificado con la manzana A. Lote N°3 en calle grande sector Abajo para el funcionamiento de la Subestación de Policía en la jurisdicción de la Policía Metropolitana de Cartagena de Indias para el cumplimiento del proyecto “OPTIMIZACIÓN DE LA INFRAESTRUCTURA Y MOVILIDAD DE LA SEGURIDAD DE LOS ORGANISMOS DE SOCORRO”. DURACION ONCE 11 MESES.</t>
  </si>
  <si>
    <t>ARRENDAMIENTO No. CO1.PCCNTR.3520712 de 2022. Arrendamiento el bien inmueble ubicado en el corregimiento de Arroyo Grande calle principal carrera 24 No 24-28, que se destinara a la Policía Metropolitana de Cartagena de Indias que presta los servicios de seguridad y vigilancia en dicho corregimiento, con el propósito de fortalecer la seguridad de esta jurisdicción y para el cumplimiento del proyecto “OPTIMIZACIÓN DE LA INFRAESTRUCTURA Y MOVILIDAD DE LA SEGURIDAD DE LOS ORGANISMOS DE SOCORRO”. DURACION ONCE 11 MESES.</t>
  </si>
  <si>
    <t>ARRENDAMIENTO No. CO1.PCCNTR.3520801  de 2022. Arrendamiento del bien inmueble tipo bodega con un área superior de 300 metros cuadrados para almacenar las motocicletas y otros bienes muebles en desuso u obsolescencia de propiedad de la entidad Distriseguridad en proceso de baja y disposición final. DURACION ONCE 11 MESES.</t>
  </si>
  <si>
    <t>ARRENDAMIENTO No. CO1.PCCNTR.3518597  de 2022. ARRENDAMIENTO BIEN INMUEBLE UBICADO EN EL CORREGIMIENTO DE BOCACHICA BARRIO ARRIBA SECTOR CALLE CORTA QUE SE DESTINARA A LA POLICÍA METROPOLITANA DE CARTAGENA DE INDIAS, QUE PRESTA SUS SERVICIOS DE SEGURIDAD Y VIGILANCIA EN DICHO CORREGIMIENTO, CON EL PROPÓSITO DE FORTALECER LA SEGURIDAD DE ESTA JURISDICCIÓN, PARA EL CUMPLIMIENTO DEL PROYECTO OPTIMIZACION DE LA INFRAESTRUCTURA Y MOVILIDAD DE LA SEGURIDAD DE LOS ORGANISMOS DE SOCORRO". DURACION DIEZ 10 MESES.</t>
  </si>
  <si>
    <t>ARRENDAMIENTO No. AD001-CTO072-2021 de 2022. Objeto: “ADICIONAL Y PRORROGA No 001-2021 AL CONTRATO No 072-2021 CUYO OBJETO ES ARRENDAMIENTO EL BIEN INMUEBLE UBICADO EN EL CORREGIMIENTO DE BOCACHICA BARRIO ARRIBA SECTOR “CALLE CORTA”, QUE SE DESTINARA A LA POLICÍA METROPOLITANA DE CARTAGENA DE INDIAS QUE PRESTA LOS SERVICIOS DE SEGURIDAD Y VIGILANCIA EN DICHO CORREGIMIENTO, CON EL PROPÓSITO DE FORTALECER LA SEGURIDAD DE ESTA JURISDICCIÓN Y PARA EL CUMPLIMIENTO DEL PROGRAMA “OPTIMIZACIÓN DE LA INFRAESTRUCTURA Y MOVILIDAD DE LA SEGURIDAD DE LOS ORGANISMOS DE SOCORRO”.PROGRAMA “OPTIMIZACIÓN DE LA INFRAESTRUCTURA Y MOVILIDAD DE LA SEGURIDAD DE LOS ORGANISMOS DE SOCORRO”. DURACION HASTA 23 DE ENERO.</t>
  </si>
  <si>
    <t>ARRENDAMIENTO No. AD002-CTO109-2021 de 2022. Objeto: ADICIONAL Y PRORROGA No 002-2021 AL CONTRATO No 109-2021 ARRENDAMIENTO EL BIEN INMUEBLE UBICADO EN EL CORREGIMIENTO DE ARROYO GRANDE CALLE PRINCIPAL CARRERA 24 No. 24-28, QUE SE DESTINARÁ A LA POLICÍA METROPOLITANA DE CARTAGENA DE INDIAS QUE PRESTA LOS SERVICIOS DE SEGURIDAD Y VIGILANCIA EN DICHO CORREGIMIENTO, CON EL PROPÓSITO DE FORTALECER LA SEGURIDAD DE ESTA JURISDICCIÓN Y PARA EL CUMPLIMIENTO DEL PROGRAMA “OPTIMIZACIÓN DE LA INFRAESTRUCTURA Y MOVILIDAD DE LA SEGURIDAD DE LOS ORGANISMOS DE SOCORRO”. DURACION HASTA 23 DE ENERO DE 2022.</t>
  </si>
  <si>
    <t>ARRENDAMIENTO No. AD001-CTO077-2021 de 2022. Objeto: ADICIONAL Y PRORROGA NO 001-2021 AL CONTRATO 077-2021, CUYO OBJETO ES EL ARRENDAMIENTO EL BIEN INMUEBLE UBICADO EN EL CORREGIMIENTO DE TIERRA BOMBA SECTOR “LA ESCALERA”, QUE SE DESTINARA A LA POLICÍA METROPOLITANA DE CARTAGENA DE INDIAS QUE PRESTA LOS SERVICIOS DE SEGURIDAD Y VIGILANCIA EN DICHO CORREGIMIENTO, CON EL PROPÓSITO DE FORTALECER LA SEGURIDAD DE ESTA JURISDICCIÓN Y PARA EL CUMPLIMIENTO DEL PROGRAMA “OPTIMIZACIÓN DE LA INFRAESTRUCTURA Y MOVILIDAD DE LA SEGURIDAD DE LOS ORGANISMOS DE SOCORRO”. DURACION HASTA 23 DE ENERO DE 2022.</t>
  </si>
  <si>
    <t>ARRENDAMIENTO No. AD001-CTO075-2021 de 2022. Objeto: ADICIONAL Y PRORROGA NO 001-2021 AL CONTRATO 075-2021, CUYO OBJETO ES EL ARRENDAMIENTO DE BIEN INMUEBLE UBICADO EN EL CORREGIMIENTO DE BAYUNCA, IDENTIFICADO CON LA MANZANA A. LOTE N°3 EN CALLE GRANDE SECTOR ABAJO PARA EL FUNCIONAMIENTO DE LA SUBESTACIÓN DE POLICÍA EN LA JURISDICCIÓN DE LA POLICÍA METROPOLITANA DE CARTAGENA DE INDIAS. DURACION HASTA 23 DE ENERO DE 2022.</t>
  </si>
  <si>
    <t>ARRENDAMIENTO No. AD001-CTO082-2021 de 2022. Objeto: ADICIONAL Y PRORROGA NO 001-2021 AL CONTRATO 082-2021, CUYO OBJETO ES EL ARRENDAMIENTO DEL BIEN INMUEBLE TIPO BODEGA CON UN ÁREA SUPERIOR DE 300 METROS CUADRADOS PARA ALMACENAR LAS MOTOCICLETAS Y OTROS BIENES MUEBLES EN DESUSO U OBSOLESCENCIA DE PROPIEDAD DE LA ENTIDAD DISTRISEGURIDAD EN PROCESO DE BAJA Y DISPOSICIÓN FINAL. DURACION HASTA 23 DE ENERO DE 2022.</t>
  </si>
  <si>
    <t>ARRENDAMIENTO No. AD001-CTOCO1.PCCNTR.2821401 de 2022. Objeto: ADICIONAL Y PRORROGA No 001-2021 AL CONTRATO No CO1.PCCNTR.2821401. DURACION HASTA 23 DE ENERO DE 2022.</t>
  </si>
  <si>
    <t>ARRENDAMIENTO No. AD001-3520801-2022 de 2022. ADICIONAL Y PRORROGA NO 001-2022 AL CONTRATO CO1.PCCNTR.3520801, CUYO OBJETO ES EL ARRENDAMIENTO DEL BIEN INMUEBLE TIPO BODEGA CON UN AREA SUPERIOR A 300 METROS CUADRADOS PARA ALMACENAR LAS MOTOCICLETAS Y OTROS BIENES MUEBLES EN DESUSO U OBSOLESCENCIA DE PROPIEDAD DE LA ENTIDAD DISTRISEGURIDAD EN PROCESO DE BAJA Y DISPOSICION FINAL, DURACION HASTA 31 DE DICIEMBRE DE 2022.</t>
  </si>
  <si>
    <t>ARRENDAMIENTO No. AD001-3520620-2022 de 2022. “ADICIONAL Y PRORROGA No 001-2022 AL CONTRATO No. CO1.PCCNTR.3520620 , CUYO OBJETO ES ARRENDAMIENTO DEL BIEN INMUEBLE UBICADO EN EL CORREGIMIENTO DE TIERRA BOMBA SECTOR “LA ESCALERA”, QUE SE DESTINARÁ A LA POLICÍA METROPOLITANA DE CARTAGENA DE CTG. INDIAS QUE PRESTA LOS SERVICIOS DE SEGURIDAD Y VIGILANCIA EN DICHO CORREGIMIENTO, CON EL PROPÓSITO DE FORTALECER LA SEGURIDAD DE ESTA JURISDICCIÓN. DURACION HASTA 31 DE DICIEMBRE DE 2022.</t>
  </si>
  <si>
    <t>ARRENDAMIENTO No. AD001-3520709 -2022 de 2022. ADICIONAL Y PRORROGA No 001-2022 AL CONTRATO No CO1.PCCNTR.3520709 CUYO OBJETO ES: ARRENDAMIENTO DE UN BIEN INMUEBLE TIPO OFICINA QUE SE DESTINARÁ PARA EL FUNCIONAMIENTO Y OPERACIÓN DEL ÁREA DE ARCHIVO Y CORRESPONDENCIA DE DISTRISEGURIDAD. DURACION HASTA 31 DE DICIEMBRE DE 2022.</t>
  </si>
  <si>
    <t>ARRENDAMIENTO No. AD001-3520712-2022 de 2022. “ADICIONAL Y PRORROGA No 001-2022 AL CONTRATO No CO1.PCCNTR.3520712, CUYO OBJETO ES ARRENDAMIENTO EL BIEN INMUEBLE UBICADO EN EL CORREGIMIENTO DE ARROYO GRANDE CALLE PRINCIPAL CARRERA 24 NO 24-28, QUE SE DESTINARA A LA POLICÍA METROPOLITANA DE CARTAGENA DE INDIAS QUE PRESTA LOS SERVICIOS DE SEGURIDAD Y VIGILANCIA EN DICHO CORREGIMIENTO, CON EL PROPÓSITO DE FORTALECER LA SEGURIDAD DE ESTA JURISDICCIÓN Y PARA EL CUMPLIMIENTO DEL PROGRAMA “OPTIMIZACIÓN. DURACION HASTA 31 DE DICIEMBRE DE 2022.</t>
  </si>
  <si>
    <t>ARRENDAMIENTO No. AD001-2022 de 2022. ADICIONAL Y PROOGA N° 001 ARRENDAMIENTO DE BIEN INMUEBLE UBICADO EN EL CORREGIMIENTO DE BAYUNCA, IDENTIFICADO CON LA MANZANA A. LOTE N°3 EN CALLE GRANDE SECTOR ABAJO, QUE SE DESTINARA A LA POLICÍA METROPOLITANA DE CARTAGENA DE INDIAS, PARA EL CUMPLIMIENTO DEL PROYECTO “OPTIMIZACIÓN DE LA INFRAESTRUCTURA Y MOVILIDAD DE LA SEGURIDAD DE LOS ORGANISMOS DE SOCORRO". DURACION HASTA 31 DE DICIEMBRE DE 2022.</t>
  </si>
  <si>
    <t>ARRENDAMIENTO No. AD001-3518597-2022 de 2022. “ADICIONAL Y PRORROGA No 001-2022 AL CONTRATO No. CO1.PCCNTR.3518597, CUYO OBJETO ES ARRENDAMIENTO DEL BIEN INMUEBLE UBICADO EN EL CORREGIMIENTO DE BOCACHICA BARRIO ARRIBA SECTOR “CALLE CORTA”, QUE SE DESTINARA A LA POLICÍA METROPOLITANA DE CARTAGENA DE INDIAS QUE PRESTA LOS SERVICIOS DE SEGURIDAD Y VIGILANCIA EN DICHO CORREGIMIENTO, DURACION HASTA 31 DICIEMBRE DE 2022.</t>
  </si>
  <si>
    <t>DETALLE</t>
  </si>
  <si>
    <t>VALOR 2022</t>
  </si>
  <si>
    <t>VALOR 2023</t>
  </si>
  <si>
    <t>A</t>
  </si>
  <si>
    <t>ISLA GRANDE</t>
  </si>
  <si>
    <t>PPTO PRELIMINAR</t>
  </si>
  <si>
    <t>APORTE DISTRISEGURIDAD</t>
  </si>
  <si>
    <t>APORTE MINISTERIO</t>
  </si>
  <si>
    <t>Lo anterior teniendo en cuenta los valores establecidos en el CONPES 4097 de 2022</t>
  </si>
  <si>
    <t>BOQUILA</t>
  </si>
  <si>
    <t>SUBESTACIÓN</t>
  </si>
  <si>
    <t>TIPO</t>
  </si>
  <si>
    <t>C</t>
  </si>
  <si>
    <t>TOTALES</t>
  </si>
  <si>
    <t>VALOR DE CONTRATO CON EDURBE 3 CAI</t>
  </si>
  <si>
    <t>VALOR PARA 4 CAI 2023</t>
  </si>
  <si>
    <t>INVERSIÓN EN OPS 2022</t>
  </si>
  <si>
    <t>INVERSIÓN EN OPS PROYECTADA 2023</t>
  </si>
  <si>
    <t>8 MESES</t>
  </si>
  <si>
    <t>PROYECTADO POAI 2023</t>
  </si>
  <si>
    <t>TICS</t>
  </si>
  <si>
    <t>PLAYAS</t>
  </si>
  <si>
    <t>CONVIVENCIA</t>
  </si>
  <si>
    <t>TOTAL</t>
  </si>
  <si>
    <t xml:space="preserve">PROYECCIÓN RECAUDO IMPUESTO TELEFONÍA </t>
  </si>
  <si>
    <t>COMISIÓN DE RECAUDO SIN EL 4x1000</t>
  </si>
  <si>
    <t>BASE 4x1000</t>
  </si>
  <si>
    <t>4x1000</t>
  </si>
  <si>
    <t>TOTAL COMISIÓN + 4x1000</t>
  </si>
  <si>
    <t>LINEA DE INVERSION - METAS PROYECTO 2023</t>
  </si>
  <si>
    <t>2.3</t>
  </si>
  <si>
    <t>Realizar el pago de los planes de datos de los sistemas de Alarmas Comunitarias en el Distrito de Cartagena</t>
  </si>
  <si>
    <t>BOCACHICA</t>
  </si>
  <si>
    <t>ARROYO GRANDE</t>
  </si>
  <si>
    <t>TIERRA BOMBA</t>
  </si>
  <si>
    <t>BAYUNCA</t>
  </si>
  <si>
    <t>BODEGA</t>
  </si>
  <si>
    <t>ARCHIVO</t>
  </si>
  <si>
    <t>Convenir el Apoyo a la gestión, Servicios profesionales y Gastos del Proyecto en cuanto a Formulación, estructuración, contratación, Socialización, difusión, aplicación, ejecución, cierre contable, económico y jurídico de proyectos, subproyectos y actividades inherentes de éste.</t>
  </si>
  <si>
    <t>Actividad 2: Convenir el Apoyo a la gestión, Servicios profesionales y Gastos del Proyecto en cuanto a Formulación, estructuración, contratación, Socialización, difusión, aplicación, ejecución, cierre contable, económico y jurídico de proyectos, subproyectos y actividades inherentes de éste.</t>
  </si>
  <si>
    <t>VALOR FUENTE</t>
  </si>
  <si>
    <t>APROPIACIÓN POR ACTIVIDAD</t>
  </si>
  <si>
    <t>CÓDIGO Y NOMBRE DE LA FUENTE</t>
  </si>
  <si>
    <t>PROYECTO IMPLEMENTACIÓN Y SOSTENIMIENTO DE HERRAMIENTAS TECNOLÓGICAS PARA SEGURIDAD Y SOCORRO EN CARTAGENA DE INDIAS</t>
  </si>
  <si>
    <t>1.3.3.2.00-93-085 RB DELINEACION 10% DISTRISEGURIDAD</t>
  </si>
  <si>
    <t>1.3.3.2.00-95-051 RB IPU 1% DISTRISEGURIDAD</t>
  </si>
  <si>
    <t>1.3.3.2.00-93-037 RB RENDIMIENTOS FINANCIEROS ICLD</t>
  </si>
  <si>
    <t>1.3.3.2.00-95-085 RB DELINEACION 10% DISTRISEGURIDAD</t>
  </si>
  <si>
    <t xml:space="preserve">Adquisición de Vehículos Uniformados y no uniformados con destino a los organismos de seguridad, justicia y socorro del Distrito de Cartagena de Indias, como componente del  proyecto Fortalecimiento Logístico Para La Seguridad, Convivencia, Justicia Y Socorro En Cartagena De Indias con BPIN 2021130010192  </t>
  </si>
  <si>
    <t>1.3.3.11.03-95-138 RB DIVIDENDOS SOCIEDAD PORTUARIA</t>
  </si>
  <si>
    <t xml:space="preserve">Estudio, diseño y Construcción de Infraestructura para seguridad y convivencia Ciudadana tipo CAI BLINDADO para los organismos de Seguridad y Convivencia Ciudadana en el marco del proyecto Fortalecimiento Logístico Para La Seguridad, Convivencia, Justicia Y Socorro En Cartagena De Indias con BPIN 2021130010192   </t>
  </si>
  <si>
    <t>Contratar los estudios, diseños, adquisición, implementación, prueba y puesta en funcionamiento del Circuito cerrado de televisión CCTV del Centro Histórico y Getsemaní, como componente del Proyecto “Implementación Y Sostenimiento De Herramientas Tecnológicas Para Seguridad Y Socorro”, Con Código Bpin 2021130010180”</t>
  </si>
  <si>
    <t>Contratar el servicio de Mantenimiento Preventivo Y Correctivo Del Sistema CCTV Ciudadano, que incluya bolsa de repuestos y equipos, como componente Del Sistema SIES Cartagena, En El Marco Del Proyecto “Implementación Y Sostenimiento De Herramientas Tecnológicas Para Seguridad Y Socorro”, Con Código Bpin 2021130010180”</t>
  </si>
  <si>
    <t>LUIS CAMPO BAZA</t>
  </si>
  <si>
    <t>1.3.2.3.11-084 RF DISTRISEGURIDAD</t>
  </si>
  <si>
    <t>EXCEDENTES DISTRISEGURIDAD  1.3.1.1. 02-01</t>
  </si>
  <si>
    <t>Implementación del programa Salvemos juntos a Cartagena con seguridad, cultura y convivencia, con la difusión de las normas de Conducta y Convivencia y comportamientos favorables en el Distrito de Cartagena en el Marco del Proyecto Construcción de Convivencia para la seguridad con BPIN 2021130010176.</t>
  </si>
  <si>
    <t>VERDE</t>
  </si>
  <si>
    <t>ROJO</t>
  </si>
  <si>
    <t>SE RESTA SALDOS A OTRAS ACTIVIDADES</t>
  </si>
  <si>
    <t>AMARILLO</t>
  </si>
  <si>
    <t>SALDOS DE LA SEGUNDA INCORPORACIÓN</t>
  </si>
  <si>
    <t>SE REASIGNA DE LOS SALDOS QUE YA VENIAN</t>
  </si>
  <si>
    <t>1.3.3.2.00-94-085 RB DELINEACION 10% DISTRISEGURIDAD</t>
  </si>
  <si>
    <t>Garantizar el Pago de conciliaciones de procesos conexos al proyecto Implementación Del Programa Vigilancia De Las Playas Del Distrito De Cartagena De Indias con BPIN 2021130010279</t>
  </si>
  <si>
    <t>Adquisición de Vehículos Uniformados y no uniformados con destino a los organismos de seguridad, justicia y socorro del Distrito de Cartagena de Indias, como componente del  proyecto  Implementación Del Programa Vigilancia De Las Playas Del Distrito De Cartagena De Indias con BPIN 2021130010279</t>
  </si>
  <si>
    <t xml:space="preserve">1.3.1.1.02-01 - EXCEDENTES DISTRISEGURIDAD;                                                                                          </t>
  </si>
  <si>
    <t xml:space="preserve">1.3.3.1.00-94-001 RB ICLD;                                                                                                                                   </t>
  </si>
  <si>
    <t xml:space="preserve">1.3.3.2.0094-037 RB RENDIMIENTOS FINANCIEROS ICLD;                                                                        </t>
  </si>
  <si>
    <t>Implementación de un sistema de Alarmas Comunitarias Inteligentes Fase II en el marco de la estrategia entornos seguros del proyecto “Implementación y Sostenimiento de Herramientas Tecnológicas para Seguridad y Socorro en Cartagena de Indias”, con código BPIN 2021130010180</t>
  </si>
  <si>
    <t>Contratar el servicio de desintegración del parque automotor fuera de servicio por estado de desgaste, deterioro y obsolescencia y el trámite ante el departamento administrativo de tránsito y transporte DATT para realizar cancelación de matrículas y traspasos a personas indeterminadas de los vehículos en el proceso de desintegración que adelanta Distriseguridad</t>
  </si>
  <si>
    <t>Garantizar el pago ante el departamento administrativo de tránsito y transporte de Cartagena de las tarifas por concepto de tramites de cancelación de matrículas y traspasos a personas indeterminadas del parque automotor fuera de servicio incluidos en el proceso de desintegración que adelanta Distriseguridad</t>
  </si>
  <si>
    <t>Seleccionar al oferente que se encargue de las obras a precios unitarios sin formula de reajuste para la construcción, instalación, implementación y puesta en funcionamiento de la infraestructura y señalización en las playas del distrito de Cartagena de indias en marco de la fase II del proyecto de inversión “implementación del programa de vigilancia de las playas del distrito de Cartagena de indias” Código BPIN 2021130010279.</t>
  </si>
  <si>
    <t>ADQUISICION DE RADIOS DE COMUNICACIÓN DESTINADOS AL Modelo Nacional de Vigilancia Comunitaria por cuadrantes de la Policía Metropolitana de Cartagena de Indias como componente del proyecto de inversión IMPLEMENTACION Y SOSTENIMIENTO DE HERRAMIENTAS TECNOLOGICAS PARA SEGURIDAD Y SOCORRO EN CARTAGENA DE INDIAS BPIN 2021130010180</t>
  </si>
  <si>
    <t>Adquisición de computadores de escritorio, licencias e instalación destinado a los organismos de seguridad y Convivencia del Distrito de Cartagena “Implementación Y Sostenimiento De Herramientas Tecnológicas Para Seguridad Y Socorro”, Con Código BPIN 2021130010180”</t>
  </si>
  <si>
    <t>Adquisición, configuración, prueba y puesta en operatividad de Equipos de comunicación para los organismos de Seguridad, socorro y justicia en el Distrito de Cartagena, En El Marco Del Proyecto “Implementación Y Sostenimiento De Herramientas Tecnológicas Para Seguridad Y Socorro”, Con Código BPIN 2021130010180”</t>
  </si>
  <si>
    <t>Pago de ARL del personal de apoyo a la gestión y profesional perteneciente a los niveles de riesgos 4 y 5 En El Marco Del Proyecto “Implementación Y Sostenimiento De Herramientas Tecnológicas Para Seguridad Y Socorro”, Con Código BPIN 2021130010180”</t>
  </si>
  <si>
    <t>Pago de ARL del personal de apoyo a la gestión y profesional perteneciente a los niveles de riesgos 4 y 5 En El Marco del Proyecto “implementación del programa de vigilancia de las playas del distrito de Cartagena de indias” Código BPIN 2021130010279.</t>
  </si>
  <si>
    <t>DIFERENCIA</t>
  </si>
  <si>
    <t>Sin cambios</t>
  </si>
  <si>
    <t>Sin Cambios</t>
  </si>
  <si>
    <t>TOTAL ACTIVIDAD</t>
  </si>
  <si>
    <t>ÍTEM</t>
  </si>
  <si>
    <t>Interventoría técnica, juridica, administrativa, financiera, legal, ambiental y social al contrato de obra a precios unitarios sin formula de reajuste para la construcción, instalación, implementación y puesta en funcionamiento de la infraestructura y señalización en las playas del distrito de Cartagena de indias en marco de la fase II del proyecto de inversión “implementación del programa de vigilancia de las playas del distrito de Cartagena de indias” Código BPIN 2021130010279.</t>
  </si>
  <si>
    <t>FUENTE</t>
  </si>
  <si>
    <t>Adquisición de Elementos de asepsia y bioseguridad destinados al fortalecimiento del programa playa azul la Boquilla en marco del proyecto implementación vigilancia en las playas del distrito de Cartagena</t>
  </si>
  <si>
    <t>OPS 123</t>
  </si>
  <si>
    <t>ACTIVIDAD</t>
  </si>
  <si>
    <t>VALOR ASIGNADO POR FUENTE</t>
  </si>
  <si>
    <t>COMPROMETIDO</t>
  </si>
  <si>
    <t>SALDO SIN COMPROMETER</t>
  </si>
  <si>
    <t>Nueva actividad</t>
  </si>
  <si>
    <t>DIRECTOR ADMINISTRATIVO Y FINANCIERO (e)</t>
  </si>
  <si>
    <t>EDGARD MARTÍNEZ COGOLLO</t>
  </si>
  <si>
    <t>Adquisicion, Implementación y puesta en funcionamiento de Circuito Cerrado de Television en Distriseguridad como componente del proyecto “Implementación y Sostenimiento de Herramientas Tecnológicas para Seguridad y Socorro en Cartagena de Indias”, con código BPIN 2021130010180</t>
  </si>
  <si>
    <t>Contratar la renovación del soporte y actualización del software ATI SUITE en los componentes ATI QUALITY, DOCUB@NK y SUITE @RISK , en el marco del proyecto Implementación Y Sostenimiento De Herramientas Tecnológicas Para Seguridad Y Socorro En Cartagena De Indias con BPIN 2021130010180</t>
  </si>
  <si>
    <t>Prestación de servicios para la depuración, organización, preservacion, disposicion final y valoración del sistema de gestión documental de Distriseguridad en el marco del proyecto Implementación Y Sostenimiento De Herramientas Tecnológicas Para Seguridad Y Socorro En Cartagena De Indias con BPIN 2021130010180</t>
  </si>
  <si>
    <t>Contratar la implementación de la estrategia y campaña audiovisual "CARTAGENA CUENTA CONTIGO" en el Marco del Proyecto Construcción de Convivencia para la seguridad con BPIN 2021130010176</t>
  </si>
  <si>
    <t>PROYECTO PLAN OPERATIVO ANUAL DE INVERSIÓNES 2024</t>
  </si>
  <si>
    <t>VIGILANCIA DE LAS PLAYAS DEL DISTRITO DE CARTAGENA</t>
  </si>
  <si>
    <t>CONVIVENCIA PARA LA SEGURIDAD</t>
  </si>
  <si>
    <t>IMPLEMENTACION Y SOSTENIMIENTO DE HERRAMIENTAS TECNOLOGICAS PARA SEGURIDAD Y SOCORRO</t>
  </si>
  <si>
    <t>OPTIMIZACION DE LA INFRAESRUCTURA Y MOVILIDAD DE OS ORGANISMOS DE SEGURIDAD Y SOCORRO</t>
  </si>
  <si>
    <t>1.2.2.0.00-076 - ICDE TELEFONÍA BÁSICA CONMUTADA</t>
  </si>
  <si>
    <t>1.2.2.0.00-051 -ICDE  1% IPU</t>
  </si>
  <si>
    <t>1.3.2.3.11-084    RF DISTRISEGURIDAD</t>
  </si>
  <si>
    <t>1.2.2.0.00-085  ICDE   10% DELINEACIÓN URBANA</t>
  </si>
  <si>
    <t>CANTIDAD</t>
  </si>
  <si>
    <t>HONORARIOS</t>
  </si>
  <si>
    <t>MESES</t>
  </si>
  <si>
    <t>IPC PROYECTADO</t>
  </si>
  <si>
    <t>ARL 2023</t>
  </si>
  <si>
    <t>ARL 2024 + 13% IPC</t>
  </si>
  <si>
    <t>INGENIEROS</t>
  </si>
  <si>
    <t>TÉCNICOS - TECNÓLOGOS</t>
  </si>
  <si>
    <t>PAGO ARL</t>
  </si>
  <si>
    <t>LÍNEA 123 BACHILLERES</t>
  </si>
  <si>
    <t>TOTAL PERSONAL</t>
  </si>
  <si>
    <t>Realizar la construcción, instalación, implementación y puesta en funcionamiento de la infraestructura y señalización en las playas del distrito de Cartagena de indias en marco de la fase II del proyecto de inversión “implementación del programa de vigilancia de las playas del distrito de Cartagena de indias” Código BPIN 2021130010279.</t>
  </si>
  <si>
    <t>1.2</t>
  </si>
  <si>
    <t>1.4</t>
  </si>
  <si>
    <t>1.5</t>
  </si>
  <si>
    <t>1.6</t>
  </si>
  <si>
    <t>1.7</t>
  </si>
  <si>
    <t>2.6</t>
  </si>
  <si>
    <t>3.1</t>
  </si>
  <si>
    <t>3.2</t>
  </si>
  <si>
    <t>3.3</t>
  </si>
  <si>
    <t>3.4</t>
  </si>
  <si>
    <t>3.5</t>
  </si>
  <si>
    <t>3.6</t>
  </si>
  <si>
    <t>4.2</t>
  </si>
  <si>
    <t>Realizar el Mantenimiento Preventivo y Correctivo del SIES que incluya bolsa de repuestos y equipos, En El Marco Del Proyecto “Implementación Y Sostenimiento De Herramientas Tecnológicas Para Seguridad Y Socorro”, Con Código Bpin 2021130010180”</t>
  </si>
  <si>
    <t>Realizar la adquisición, configuración, prueba y puesta en operatividad de Equipos de comunicación para los organismos de Seguridad, socorro y justicia en el Distrito de Cartagena, En El Marco Del Proyecto “Implementación Y Sostenimiento De Herramientas Tecnológicas Para Seguridad Y Socorro”, Con Código BPIN 2021130010180”</t>
  </si>
  <si>
    <t>TOTALES PROGRAMA</t>
  </si>
  <si>
    <t>PROGRAMA</t>
  </si>
  <si>
    <t>PONDERACIÓN</t>
  </si>
  <si>
    <t>PONDERACIÓN POR PROGRAMA APROPIACIÓN INICIAL</t>
  </si>
  <si>
    <t xml:space="preserve">PROGRAMAS </t>
  </si>
  <si>
    <t>APROPIACIÓN INICIAL POR FUENTES</t>
  </si>
  <si>
    <t>JAIME HERNANDEZ AMÍN</t>
  </si>
  <si>
    <t>DIRECTOR ADMINISTRATIVO Y FINANCIERO</t>
  </si>
  <si>
    <t>INICIAL</t>
  </si>
  <si>
    <t>Vienen del 1.3 Misma Fuente</t>
  </si>
  <si>
    <t>ACTUALIZADO</t>
  </si>
  <si>
    <t>2.7</t>
  </si>
  <si>
    <t>2.8</t>
  </si>
  <si>
    <t>Nueva actividad, fuente viene del 2.5</t>
  </si>
  <si>
    <t>1.8</t>
  </si>
  <si>
    <t>Realizar la contratación de consultoría que se encargue de la Formulacióny y Estructuración del proyecto C5 en el Distrito de Cartagena</t>
  </si>
  <si>
    <t>Nueva actividad, fuente viene del 1.4</t>
  </si>
  <si>
    <t>2.9</t>
  </si>
  <si>
    <t>Se restó la cantidad de rojo, la cual pasa a financiar las nuevas actividades en los puntos 2.7, 2.8 y 2.9 con la misma fuente.</t>
  </si>
  <si>
    <t>Cambió de nombre y de objeto la actividad, la anterior se elimina y se dejan 200 mill. Y el valor viene de la misma eliminada</t>
  </si>
  <si>
    <t>Cambió de nombre y de objeto la actividad, la anterior se elimina 3.4. Y el valor viene de la misma eliminada mas la 3.3</t>
  </si>
  <si>
    <t>Es decir este valor viene de 4 millones del anterior 3.4 mas 506 millones del anterior 3.3</t>
  </si>
  <si>
    <t xml:space="preserve">En nombre de la actividad cambió a Alquiler y se colocó la palabra SOCORRO para poder comprar vehículos destinados a éstos organismos. </t>
  </si>
  <si>
    <t>Se incrementa el valor y Vienen del eliminado punto 3.3</t>
  </si>
  <si>
    <t xml:space="preserve">NOMBRE DEL PROYECTO </t>
  </si>
  <si>
    <t>VALOR EN APOYOS</t>
  </si>
  <si>
    <t>4.3</t>
  </si>
  <si>
    <t>1.9</t>
  </si>
  <si>
    <t>Se fueron para el 1.1 y el resto para el punto 1,9</t>
  </si>
  <si>
    <t>NUEVAS</t>
  </si>
  <si>
    <t>1.10</t>
  </si>
  <si>
    <t>Viene del 1.4</t>
  </si>
  <si>
    <t>Misma fuente de la actividad 1,4 vienen $681.678.528,24437</t>
  </si>
  <si>
    <t>Ampliar cobertura y fortalecer los componentes del SIES en Cartagena de Indias con la adquisición, instalación y puesta en operación de nuevas Alarmas comunitarias en el Marco del Proyecto “Implementación Y Sostenimiento De Herramientas Tecnológicas Para Seguridad Y Socorro”, Con Código BPIN 2021130010180”</t>
  </si>
  <si>
    <t>El mayor valor viene del punto 2,5</t>
  </si>
  <si>
    <t>Realizar la adquisición de seguros de los activos de Distriseguridad</t>
  </si>
  <si>
    <t>Realizar la adquisición de elementos de señalización, salvamento, primeros auxilios y de seguridad para el apoyo al grupo de Salvavidas, como componente del proyecto de inversión “implementación del programa de vigilancia de las playas del distrito de Cartagena de indias” Código BPIN 2021130010279.</t>
  </si>
  <si>
    <t>Realizar la adquisición de DRONES Acuáticos con especificaciones requeridas que integre proceso de capacitación o formación para la operación del equipo adquirido para usos de seguridad de cuerpo de salvavidas del Distrito de Cartagena en el marco del proyecto de inversión “implementación del programa de vigilancia de las playas del distrito de Cartagena de indias” Código BPIN 2021130010279.</t>
  </si>
  <si>
    <t>Realizar la contratación para construcción de Infraestructura para los organismos de Socorro en el marco del proyecto Fortalecimiento Logístico Para La Seguridad, Convivencia, Justicia Y Socorro En Cartagena De Indias con BPIN 2021130010192</t>
  </si>
  <si>
    <t xml:space="preserve">Efectuar el Pago de ARL del personal de apoyo a la gestión y profesional perteneciente a los niveles de riesgos 4 y 5 En El Marco del Proyecto Fortalecimiento Logístico Para La Seguridad, Convivencia, Justicia Y Socorro En Cartagena De Indias con BPIN 2021130010192  </t>
  </si>
  <si>
    <t xml:space="preserve">Realizar el alquiler de Vehículos con destino a los organismos de seguridad, justicia y socorro y DISTRISEGURIDAD, como componente del  proyecto Fortalecimiento Logístico Para La Seguridad, Convivencia, Justicia Y Socorro En Cartagena De Indias con BPIN 2021130010192  </t>
  </si>
  <si>
    <t>Efectuar el Pago de ARL del personal de apoyo a la gestión y profesional perteneciente a los niveles de riesgos 4 y 5 En El Marco Del Proyecto “Implementación Y Sostenimiento De Herramientas Tecnológicas Para Seguridad Y Socorro”, Con Código BPIN 2021130010180”</t>
  </si>
  <si>
    <t>Efectuar el pago de Soporte Sistemas tecnológicos para la operación de Alarmas Vigentes</t>
  </si>
  <si>
    <t>Se fueron 100 MILL para el 1.8; 300 MLL al 1.5 y $33.493.349,75 al 1.7</t>
  </si>
  <si>
    <t>FECHA DE ACTUALIZACIÓN</t>
  </si>
  <si>
    <t>GASTOS DE PLAYA AZUL</t>
  </si>
  <si>
    <t>PERSONAL 11 MESES</t>
  </si>
  <si>
    <t>ACODAL</t>
  </si>
  <si>
    <t>SERVICIO DE AGUA 12 MESES</t>
  </si>
  <si>
    <t>ELEMENTOS DE BIOSEGURIDAD</t>
  </si>
  <si>
    <t>REMBERTO VIAÑA GONZALEZ</t>
  </si>
  <si>
    <t>Realizar alianzas interinstitucionales para el desarrollo y ejecucion de estrategias formativas y pedagogicas para el fomento, formacion y difusion  de buenas practicas y comportamientos favorablles asociados a la convivencia y cultura ciudadana en Cartagena de Indias</t>
  </si>
  <si>
    <t>2.10</t>
  </si>
  <si>
    <t xml:space="preserve">Realizar la contratación del diseño de una Aplicación para la seguridad y convivencia ciudadana. </t>
  </si>
  <si>
    <t>1.11</t>
  </si>
  <si>
    <t xml:space="preserve">Realizar la contratación, desarrollo y puesta en operatividad de una Aplicación para la seguridad y convivencia ciudadana. </t>
  </si>
  <si>
    <t>Nueva actividad, fuente viene del 1.3 ($1.022.321.471,75563)</t>
  </si>
  <si>
    <t xml:space="preserve">Nueva actividad, fuente viene del 1.3 </t>
  </si>
  <si>
    <t>2.11</t>
  </si>
  <si>
    <t>Realizar la adquisición de Vehículos para los organismos de seguridad, justicia y socorro y DISTRISEGURIDAD en el marco del proyecto Fortalecimiento Logístico Para La Seguridad, Convivencia, Justicia Y Socorro En Cartagena De Indias con BPIN 2021130010192</t>
  </si>
  <si>
    <t>Realizar alianzas interinstitucionales para el desarrollo y ejecucion de estrategias formativas y pedagogicas para el fomento, formacion y difusion  de buenas practicas y comportamientos favorablles asociados a la convivencia y cultura ciudadana en Cartagena de Indias en el marco del proyecto Fortalecimiento Logístico Para La Seguridad, Convivencia, Justicia Y Socorro En Cartagena De Indias con BPIN 2021130010192</t>
  </si>
  <si>
    <t>Se elimina el 4,1 y pasa el 4.2 a ser 4.1 los 50 millones pasan a la nueva actividad 4,3</t>
  </si>
  <si>
    <t>Recursos vienen del 4,2 inicial</t>
  </si>
  <si>
    <t>Convenir el Apoyo a la gestión, Servicios profesionales y Gastos del Proyecto en cuanto a Formulación, estructuración, contratación, Socialización, difusión, aplicación, ejecución, cierre contable, económico y jurídico de proyectos, subproyectos y actividades inherentes al Proyecto “Implementación Y Sostenimiento De Herramientas Tecnológicas Para Seguridad Y Socorro”, Con Código Bpin 2021130010180”</t>
  </si>
  <si>
    <t>Convenir el Apoyo a la gestión, Servicios profesionales y Gastos del Proyecto en cuanto a Formulación, estructuración, contratación, Socialización, difusión, aplicación, ejecución, cierre contable, económico y jurídico de proyectos, subproyectos y actividades inherentes al proyecto Fortalecimiento Logístico Para La Seguridad, Convivencia, Justicia Y Socorro En Cartagena De Indias con BPIN 2021130010192</t>
  </si>
  <si>
    <t>Convenir el Apoyo a la gestión, Servicios profesionales y Gastos del Proyecto en cuanto a Formulación, estructuración, contratación, Socialización, difusión, aplicación, ejecución, cierre contable, económico y jurídico de proyectos, subproyectos y actividades inherentes al proyecto Construcción De Convivencia Para La Seguridad En Cartagena De Indias con BPIN 2021130010176</t>
  </si>
  <si>
    <t xml:space="preserve">Realizar  estrategias pedagógicas de comunicaciones y logística que promueva la transformación del tejido social a través de la difusión de las normas de conducta y convivencia ciudadana en el marco del proyecto al proyecto Construcción De Convivencia Para La Seguridad En Cartagena De Indias con BPIN 2021130010176 en el marco del proyecto Fortalecimiento Logístico Para La Seguridad, Convivencia, Justicia Y Socorro En Cartagena De Indias con BPIN 2021130010192   </t>
  </si>
  <si>
    <t>Realizar  estrategias pedagógicas de comunicaciones y logística que promueva la transformación del tejido social a través de la difusión de las normas de conducta y convivencia ciudadana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</si>
</sst>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 #,##0.00"/>
    <numFmt numFmtId="165" formatCode="_(&quot;$&quot;\ * #,##0.00_);_(&quot;$&quot;\ * \(#,##0.00\);_(&quot;$&quot;\ * &quot;-&quot;??_);_(@_)"/>
    <numFmt numFmtId="166" formatCode="&quot;$&quot;\ #,##0"/>
    <numFmt numFmtId="167" formatCode="&quot;$&quot;#,##0.00"/>
  </numFmts>
  <fonts count="36" x14ac:knownFonts="1">
    <font>
      <sz val="11"/>
      <color theme="1"/>
      <name val="Calibri"/>
      <family val="2"/>
      <scheme val="minor"/>
    </font>
    <font>
      <sz val="11"/>
      <color theme="1"/>
      <name val="Calibri"/>
      <family val="2"/>
      <scheme val="minor"/>
    </font>
    <font>
      <b/>
      <sz val="11"/>
      <color theme="1"/>
      <name val="Calibri"/>
      <family val="2"/>
      <scheme val="minor"/>
    </font>
    <font>
      <b/>
      <sz val="24"/>
      <color theme="1"/>
      <name val="Arial"/>
      <family val="2"/>
    </font>
    <font>
      <b/>
      <sz val="15"/>
      <color theme="1"/>
      <name val="Arial"/>
      <family val="2"/>
    </font>
    <font>
      <b/>
      <sz val="9"/>
      <color theme="1"/>
      <name val="Arial"/>
      <family val="2"/>
    </font>
    <font>
      <b/>
      <sz val="12"/>
      <color theme="8" tint="-0.499984740745262"/>
      <name val="Arial"/>
      <family val="2"/>
    </font>
    <font>
      <b/>
      <sz val="15"/>
      <color theme="8" tint="-0.499984740745262"/>
      <name val="Arial"/>
      <family val="2"/>
    </font>
    <font>
      <b/>
      <sz val="15"/>
      <color theme="9" tint="-0.499984740745262"/>
      <name val="Arial"/>
      <family val="2"/>
    </font>
    <font>
      <b/>
      <sz val="10"/>
      <name val="Arial"/>
      <family val="2"/>
    </font>
    <font>
      <sz val="11"/>
      <name val="Arial"/>
      <family val="2"/>
    </font>
    <font>
      <b/>
      <sz val="11"/>
      <name val="Arial"/>
      <family val="2"/>
    </font>
    <font>
      <b/>
      <sz val="14"/>
      <name val="Arial"/>
      <family val="2"/>
    </font>
    <font>
      <sz val="11"/>
      <color rgb="FF000000"/>
      <name val="Arial"/>
      <family val="2"/>
    </font>
    <font>
      <b/>
      <sz val="14"/>
      <color theme="1"/>
      <name val="Arial"/>
      <family val="2"/>
    </font>
    <font>
      <b/>
      <sz val="11"/>
      <color rgb="FF000000"/>
      <name val="Arial"/>
      <family val="2"/>
    </font>
    <font>
      <sz val="10"/>
      <color theme="1"/>
      <name val="Verdana"/>
      <family val="2"/>
    </font>
    <font>
      <sz val="11"/>
      <color theme="1"/>
      <name val="Arial"/>
      <family val="2"/>
    </font>
    <font>
      <b/>
      <sz val="12"/>
      <color rgb="FF0070C0"/>
      <name val="Arial"/>
      <family val="2"/>
    </font>
    <font>
      <b/>
      <sz val="11.5"/>
      <color theme="1"/>
      <name val="Arial"/>
      <family val="2"/>
    </font>
    <font>
      <b/>
      <sz val="8"/>
      <color theme="1"/>
      <name val="Calibri"/>
      <family val="2"/>
      <scheme val="minor"/>
    </font>
    <font>
      <sz val="8"/>
      <color theme="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sz val="8"/>
      <name val="Calibri"/>
      <family val="2"/>
      <scheme val="minor"/>
    </font>
    <font>
      <b/>
      <sz val="12"/>
      <name val="Arial"/>
      <family val="2"/>
    </font>
    <font>
      <b/>
      <sz val="12"/>
      <color theme="1"/>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b/>
      <sz val="13"/>
      <color theme="4"/>
      <name val="Calibri"/>
      <family val="2"/>
      <scheme val="minor"/>
    </font>
    <font>
      <b/>
      <sz val="15"/>
      <name val="Arial"/>
      <family val="2"/>
    </font>
    <font>
      <sz val="14"/>
      <name val="Arial"/>
      <family val="2"/>
    </font>
    <font>
      <b/>
      <sz val="12"/>
      <color theme="1"/>
      <name val="Arial"/>
      <family val="2"/>
    </font>
  </fonts>
  <fills count="11">
    <fill>
      <patternFill patternType="none"/>
    </fill>
    <fill>
      <patternFill patternType="gray125"/>
    </fill>
    <fill>
      <patternFill patternType="solid">
        <fgColor rgb="FF92D05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s>
  <borders count="63">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auto="1"/>
      </left>
      <right style="thin">
        <color auto="1"/>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thin">
        <color auto="1"/>
      </top>
      <bottom style="thin">
        <color auto="1"/>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auto="1"/>
      </top>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s>
  <cellStyleXfs count="5">
    <xf numFmtId="0" fontId="0" fillId="0" borderId="0"/>
    <xf numFmtId="165" fontId="1" fillId="0" borderId="0" applyFont="0" applyFill="0" applyBorder="0" applyAlignment="0" applyProtection="0"/>
    <xf numFmtId="49" fontId="16" fillId="0" borderId="0" applyFill="0" applyBorder="0" applyProtection="0">
      <alignment horizontal="left" vertical="center"/>
    </xf>
    <xf numFmtId="43" fontId="1" fillId="0" borderId="0" applyFont="0" applyFill="0" applyBorder="0" applyAlignment="0" applyProtection="0"/>
    <xf numFmtId="9" fontId="1" fillId="0" borderId="0" applyFont="0" applyFill="0" applyBorder="0" applyAlignment="0" applyProtection="0"/>
  </cellStyleXfs>
  <cellXfs count="526">
    <xf numFmtId="0" fontId="0" fillId="0" borderId="0" xfId="0"/>
    <xf numFmtId="0" fontId="0" fillId="0" borderId="1" xfId="0" applyBorder="1"/>
    <xf numFmtId="49" fontId="0" fillId="0" borderId="1" xfId="0" applyNumberFormat="1" applyBorder="1" applyAlignment="1">
      <alignment horizontal="center"/>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164" fontId="2" fillId="3" borderId="1" xfId="0" applyNumberFormat="1" applyFont="1" applyFill="1" applyBorder="1" applyAlignment="1">
      <alignment horizontal="right" vertical="center" wrapText="1"/>
    </xf>
    <xf numFmtId="0" fontId="2" fillId="4" borderId="1" xfId="0" applyFont="1" applyFill="1" applyBorder="1"/>
    <xf numFmtId="164" fontId="2" fillId="4" borderId="1" xfId="0" applyNumberFormat="1" applyFont="1" applyFill="1" applyBorder="1" applyAlignment="1">
      <alignment horizontal="right" vertical="center"/>
    </xf>
    <xf numFmtId="0" fontId="2" fillId="5" borderId="1" xfId="0" applyFont="1" applyFill="1" applyBorder="1" applyAlignment="1">
      <alignment wrapText="1"/>
    </xf>
    <xf numFmtId="164" fontId="2" fillId="5" borderId="1" xfId="0" applyNumberFormat="1" applyFont="1" applyFill="1" applyBorder="1" applyAlignment="1">
      <alignment horizontal="right" vertical="center"/>
    </xf>
    <xf numFmtId="0" fontId="0" fillId="0" borderId="1" xfId="0" applyBorder="1" applyAlignment="1">
      <alignment wrapText="1"/>
    </xf>
    <xf numFmtId="164" fontId="0" fillId="0" borderId="1" xfId="0" applyNumberFormat="1" applyBorder="1" applyAlignment="1">
      <alignment horizontal="right" vertical="center"/>
    </xf>
    <xf numFmtId="164" fontId="2" fillId="0" borderId="1" xfId="0" applyNumberFormat="1" applyFont="1" applyBorder="1" applyAlignment="1">
      <alignment vertical="center"/>
    </xf>
    <xf numFmtId="167" fontId="5" fillId="0" borderId="5" xfId="1" applyNumberFormat="1" applyFont="1" applyFill="1" applyBorder="1" applyAlignment="1">
      <alignment horizontal="center" vertical="center"/>
    </xf>
    <xf numFmtId="167" fontId="5" fillId="0" borderId="2" xfId="1" applyNumberFormat="1" applyFont="1" applyFill="1" applyBorder="1" applyAlignment="1">
      <alignment horizontal="center" vertical="center"/>
    </xf>
    <xf numFmtId="167" fontId="10" fillId="0" borderId="1" xfId="1" applyNumberFormat="1" applyFont="1" applyFill="1" applyBorder="1" applyAlignment="1">
      <alignment horizontal="right" vertical="center"/>
    </xf>
    <xf numFmtId="167" fontId="10" fillId="0" borderId="0" xfId="1" applyNumberFormat="1" applyFont="1" applyFill="1" applyBorder="1" applyAlignment="1">
      <alignment horizontal="right" vertical="center"/>
    </xf>
    <xf numFmtId="166" fontId="18" fillId="0" borderId="7" xfId="1" applyNumberFormat="1" applyFont="1" applyFill="1" applyBorder="1" applyAlignment="1">
      <alignment horizontal="center" vertical="center"/>
    </xf>
    <xf numFmtId="167" fontId="10" fillId="0" borderId="0" xfId="1" applyNumberFormat="1" applyFont="1" applyFill="1" applyBorder="1" applyAlignment="1">
      <alignment horizontal="left" vertical="center"/>
    </xf>
    <xf numFmtId="167" fontId="0" fillId="0" borderId="0" xfId="0" applyNumberFormat="1"/>
    <xf numFmtId="164" fontId="0" fillId="0" borderId="0" xfId="0" applyNumberFormat="1"/>
    <xf numFmtId="0" fontId="2" fillId="0" borderId="0" xfId="0" applyFont="1" applyAlignment="1">
      <alignment horizontal="center"/>
    </xf>
    <xf numFmtId="164" fontId="2" fillId="0" borderId="0" xfId="0" applyNumberFormat="1" applyFont="1"/>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64" fontId="0" fillId="0" borderId="1" xfId="0" applyNumberFormat="1" applyBorder="1"/>
    <xf numFmtId="0" fontId="0" fillId="0" borderId="1" xfId="0" applyBorder="1" applyAlignment="1">
      <alignment horizontal="center"/>
    </xf>
    <xf numFmtId="164" fontId="2" fillId="0" borderId="1" xfId="0" applyNumberFormat="1" applyFont="1" applyBorder="1"/>
    <xf numFmtId="0" fontId="0" fillId="6" borderId="0" xfId="0" applyFill="1"/>
    <xf numFmtId="164" fontId="0" fillId="6" borderId="0" xfId="0" applyNumberFormat="1" applyFill="1"/>
    <xf numFmtId="164" fontId="2" fillId="6" borderId="1" xfId="0" applyNumberFormat="1" applyFont="1" applyFill="1" applyBorder="1"/>
    <xf numFmtId="164" fontId="2" fillId="6" borderId="0" xfId="0" applyNumberFormat="1" applyFont="1" applyFill="1"/>
    <xf numFmtId="0" fontId="2" fillId="0" borderId="0" xfId="0" applyFont="1"/>
    <xf numFmtId="0" fontId="0" fillId="7" borderId="0" xfId="0" applyFill="1"/>
    <xf numFmtId="2" fontId="0" fillId="0" borderId="0" xfId="0" applyNumberFormat="1"/>
    <xf numFmtId="167" fontId="10" fillId="0" borderId="1" xfId="1" applyNumberFormat="1" applyFont="1" applyFill="1" applyBorder="1" applyAlignment="1">
      <alignment horizontal="left" vertical="center" wrapText="1"/>
    </xf>
    <xf numFmtId="0" fontId="0" fillId="0" borderId="0" xfId="0" applyAlignment="1">
      <alignment horizontal="center" vertical="center"/>
    </xf>
    <xf numFmtId="167" fontId="10" fillId="0" borderId="1" xfId="0" applyNumberFormat="1" applyFont="1" applyBorder="1" applyAlignment="1">
      <alignment horizontal="left" vertical="center" wrapText="1"/>
    </xf>
    <xf numFmtId="167" fontId="10" fillId="0" borderId="1" xfId="0" applyNumberFormat="1" applyFont="1" applyBorder="1" applyAlignment="1">
      <alignment horizontal="right" vertical="center" wrapText="1"/>
    </xf>
    <xf numFmtId="164" fontId="13" fillId="0" borderId="1" xfId="0" applyNumberFormat="1" applyFont="1" applyBorder="1" applyAlignment="1">
      <alignment horizontal="right" vertical="center" wrapText="1"/>
    </xf>
    <xf numFmtId="164" fontId="13" fillId="0" borderId="1" xfId="0" applyNumberFormat="1" applyFont="1" applyBorder="1" applyAlignment="1">
      <alignment horizontal="right" vertical="center"/>
    </xf>
    <xf numFmtId="0" fontId="0" fillId="0" borderId="0" xfId="0" applyAlignment="1">
      <alignment vertical="center"/>
    </xf>
    <xf numFmtId="167" fontId="10" fillId="8" borderId="1" xfId="1" applyNumberFormat="1" applyFont="1" applyFill="1" applyBorder="1" applyAlignment="1">
      <alignment horizontal="right" vertical="center"/>
    </xf>
    <xf numFmtId="167" fontId="10" fillId="2" borderId="1" xfId="1" applyNumberFormat="1" applyFont="1" applyFill="1" applyBorder="1" applyAlignment="1">
      <alignment horizontal="right" vertical="center"/>
    </xf>
    <xf numFmtId="167" fontId="13" fillId="0" borderId="1" xfId="0" applyNumberFormat="1" applyFont="1" applyBorder="1" applyAlignment="1">
      <alignment horizontal="right" vertical="center"/>
    </xf>
    <xf numFmtId="165" fontId="0" fillId="0" borderId="5" xfId="1" applyFont="1" applyFill="1" applyBorder="1"/>
    <xf numFmtId="165" fontId="0" fillId="0" borderId="8" xfId="1" applyFont="1" applyFill="1" applyBorder="1"/>
    <xf numFmtId="165" fontId="0" fillId="0" borderId="9" xfId="1" applyFont="1" applyFill="1" applyBorder="1"/>
    <xf numFmtId="167" fontId="10" fillId="0" borderId="18" xfId="1" applyNumberFormat="1" applyFont="1" applyFill="1" applyBorder="1" applyAlignment="1">
      <alignment horizontal="right" vertical="center"/>
    </xf>
    <xf numFmtId="167" fontId="10" fillId="0" borderId="35" xfId="1" applyNumberFormat="1" applyFont="1" applyFill="1" applyBorder="1" applyAlignment="1">
      <alignment horizontal="left" vertical="center" wrapText="1"/>
    </xf>
    <xf numFmtId="167" fontId="10" fillId="0" borderId="18" xfId="1" applyNumberFormat="1" applyFont="1" applyFill="1" applyBorder="1" applyAlignment="1">
      <alignment horizontal="left" vertical="center" wrapText="1"/>
    </xf>
    <xf numFmtId="167" fontId="10" fillId="0" borderId="35" xfId="1" applyNumberFormat="1" applyFont="1" applyFill="1" applyBorder="1" applyAlignment="1">
      <alignment horizontal="right" vertical="center"/>
    </xf>
    <xf numFmtId="167" fontId="10" fillId="0" borderId="36" xfId="1" applyNumberFormat="1" applyFont="1" applyFill="1" applyBorder="1" applyAlignment="1">
      <alignment horizontal="right" vertical="center"/>
    </xf>
    <xf numFmtId="167" fontId="10" fillId="0" borderId="36" xfId="1" applyNumberFormat="1" applyFont="1" applyFill="1" applyBorder="1" applyAlignment="1">
      <alignment horizontal="left" vertical="center" wrapText="1"/>
    </xf>
    <xf numFmtId="167" fontId="10" fillId="0" borderId="38" xfId="1" applyNumberFormat="1" applyFont="1" applyFill="1" applyBorder="1" applyAlignment="1">
      <alignment horizontal="right" vertical="center"/>
    </xf>
    <xf numFmtId="167" fontId="10" fillId="0" borderId="38" xfId="1" applyNumberFormat="1" applyFont="1" applyFill="1" applyBorder="1" applyAlignment="1">
      <alignment horizontal="left" vertical="center" wrapText="1"/>
    </xf>
    <xf numFmtId="0" fontId="17" fillId="0" borderId="0" xfId="0" applyFont="1"/>
    <xf numFmtId="0" fontId="17" fillId="0" borderId="1" xfId="0" applyFont="1" applyBorder="1"/>
    <xf numFmtId="167" fontId="17" fillId="0" borderId="1" xfId="0" applyNumberFormat="1" applyFont="1" applyBorder="1"/>
    <xf numFmtId="0" fontId="0" fillId="0" borderId="2" xfId="0" applyBorder="1" applyAlignment="1">
      <alignment horizontal="center" vertical="center"/>
    </xf>
    <xf numFmtId="167" fontId="10" fillId="0" borderId="54" xfId="1" applyNumberFormat="1" applyFont="1" applyFill="1" applyBorder="1" applyAlignment="1">
      <alignment horizontal="left" vertical="center" wrapText="1"/>
    </xf>
    <xf numFmtId="167" fontId="10" fillId="0" borderId="54" xfId="1" applyNumberFormat="1" applyFont="1" applyFill="1" applyBorder="1" applyAlignment="1">
      <alignment horizontal="right" vertical="center"/>
    </xf>
    <xf numFmtId="0" fontId="0" fillId="0" borderId="4" xfId="0" applyBorder="1" applyAlignment="1">
      <alignment vertical="center"/>
    </xf>
    <xf numFmtId="0" fontId="0" fillId="0" borderId="6" xfId="0" applyBorder="1" applyAlignment="1">
      <alignment horizontal="center" vertical="center" wrapText="1"/>
    </xf>
    <xf numFmtId="0" fontId="0" fillId="0" borderId="7" xfId="0"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167" fontId="10" fillId="0" borderId="36" xfId="0" applyNumberFormat="1" applyFont="1" applyBorder="1" applyAlignment="1">
      <alignment horizontal="left" vertical="center" wrapText="1"/>
    </xf>
    <xf numFmtId="0" fontId="0" fillId="0" borderId="12" xfId="0" applyBorder="1" applyAlignment="1">
      <alignment vertical="center"/>
    </xf>
    <xf numFmtId="167" fontId="10" fillId="0" borderId="54" xfId="0" applyNumberFormat="1" applyFont="1" applyBorder="1" applyAlignment="1">
      <alignment horizontal="left" vertical="center" wrapText="1"/>
    </xf>
    <xf numFmtId="167" fontId="13" fillId="0" borderId="54" xfId="0" applyNumberFormat="1" applyFont="1" applyBorder="1" applyAlignment="1">
      <alignment horizontal="right" vertical="center"/>
    </xf>
    <xf numFmtId="0" fontId="0" fillId="8" borderId="7" xfId="0" applyFill="1" applyBorder="1" applyAlignment="1">
      <alignment vertical="center"/>
    </xf>
    <xf numFmtId="0" fontId="0" fillId="2" borderId="7" xfId="0" applyFill="1" applyBorder="1" applyAlignment="1">
      <alignment vertical="center"/>
    </xf>
    <xf numFmtId="164" fontId="13" fillId="0" borderId="54" xfId="0" applyNumberFormat="1" applyFont="1" applyBorder="1" applyAlignment="1">
      <alignment horizontal="right" vertical="center"/>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center" vertical="center" wrapText="1"/>
    </xf>
    <xf numFmtId="14" fontId="6" fillId="0" borderId="14" xfId="0" applyNumberFormat="1" applyFont="1" applyBorder="1" applyAlignment="1">
      <alignment horizontal="center" vertical="center" wrapText="1"/>
    </xf>
    <xf numFmtId="1" fontId="7" fillId="0" borderId="13" xfId="0" applyNumberFormat="1" applyFont="1" applyBorder="1" applyAlignment="1">
      <alignment horizontal="center" vertical="center" wrapText="1"/>
    </xf>
    <xf numFmtId="0" fontId="8" fillId="0" borderId="50" xfId="0" applyFont="1" applyBorder="1" applyAlignment="1">
      <alignment horizontal="center" vertical="center"/>
    </xf>
    <xf numFmtId="164" fontId="8" fillId="0" borderId="52" xfId="0" applyNumberFormat="1" applyFont="1" applyBorder="1" applyAlignment="1">
      <alignment horizontal="right" vertical="center"/>
    </xf>
    <xf numFmtId="0" fontId="9" fillId="0" borderId="17" xfId="0" applyFont="1" applyBorder="1" applyAlignment="1">
      <alignment horizontal="center" vertical="center"/>
    </xf>
    <xf numFmtId="167" fontId="10" fillId="0" borderId="18" xfId="0" applyNumberFormat="1" applyFont="1" applyBorder="1" applyAlignment="1">
      <alignment horizontal="left" vertical="center" wrapText="1"/>
    </xf>
    <xf numFmtId="0" fontId="9" fillId="0" borderId="19" xfId="0" applyFont="1" applyBorder="1" applyAlignment="1">
      <alignment horizontal="center" vertical="center"/>
    </xf>
    <xf numFmtId="167" fontId="11" fillId="0" borderId="1" xfId="0" applyNumberFormat="1" applyFont="1" applyBorder="1" applyAlignment="1">
      <alignment horizontal="right" vertical="center"/>
    </xf>
    <xf numFmtId="0" fontId="0" fillId="0" borderId="0" xfId="0" applyAlignment="1">
      <alignment horizontal="left"/>
    </xf>
    <xf numFmtId="0" fontId="9" fillId="0" borderId="20" xfId="0" applyFont="1" applyBorder="1" applyAlignment="1">
      <alignment horizontal="center" vertical="center"/>
    </xf>
    <xf numFmtId="0" fontId="9" fillId="0" borderId="28" xfId="0" applyFont="1" applyBorder="1" applyAlignment="1">
      <alignment horizontal="center" vertical="center"/>
    </xf>
    <xf numFmtId="2" fontId="9" fillId="0" borderId="19" xfId="0" applyNumberFormat="1" applyFont="1" applyBorder="1" applyAlignment="1">
      <alignment horizontal="center" vertical="center"/>
    </xf>
    <xf numFmtId="167" fontId="11" fillId="0" borderId="1" xfId="0" applyNumberFormat="1" applyFont="1" applyBorder="1" applyAlignment="1">
      <alignment vertical="center"/>
    </xf>
    <xf numFmtId="0" fontId="8" fillId="0" borderId="10" xfId="0" applyFont="1" applyBorder="1" applyAlignment="1">
      <alignment horizontal="center" vertical="center"/>
    </xf>
    <xf numFmtId="164" fontId="8" fillId="0" borderId="16" xfId="0" applyNumberFormat="1" applyFont="1" applyBorder="1" applyAlignment="1">
      <alignment horizontal="right" vertical="center"/>
    </xf>
    <xf numFmtId="164" fontId="13" fillId="0" borderId="18" xfId="0" applyNumberFormat="1" applyFont="1" applyBorder="1" applyAlignment="1">
      <alignment horizontal="right" vertical="center"/>
    </xf>
    <xf numFmtId="164" fontId="11" fillId="0" borderId="18" xfId="0" applyNumberFormat="1" applyFont="1" applyBorder="1" applyAlignment="1">
      <alignment horizontal="right" vertical="center"/>
    </xf>
    <xf numFmtId="164" fontId="13" fillId="0" borderId="35" xfId="0" applyNumberFormat="1" applyFont="1" applyBorder="1" applyAlignment="1">
      <alignment horizontal="right" vertical="center" wrapText="1"/>
    </xf>
    <xf numFmtId="164" fontId="15" fillId="0" borderId="35" xfId="0" applyNumberFormat="1" applyFont="1" applyBorder="1" applyAlignment="1">
      <alignment horizontal="right" vertical="center"/>
    </xf>
    <xf numFmtId="164" fontId="15" fillId="0" borderId="1" xfId="0" applyNumberFormat="1" applyFont="1" applyBorder="1" applyAlignment="1">
      <alignment horizontal="right" vertical="center"/>
    </xf>
    <xf numFmtId="14" fontId="6" fillId="0" borderId="4"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0" fontId="8" fillId="0" borderId="40" xfId="0" applyFont="1" applyBorder="1" applyAlignment="1">
      <alignment horizontal="center" vertical="center"/>
    </xf>
    <xf numFmtId="166" fontId="11" fillId="0" borderId="18" xfId="0" applyNumberFormat="1" applyFont="1" applyBorder="1" applyAlignment="1">
      <alignment horizontal="right" vertical="center"/>
    </xf>
    <xf numFmtId="166" fontId="11" fillId="0" borderId="1" xfId="0" applyNumberFormat="1" applyFont="1" applyBorder="1" applyAlignment="1">
      <alignment horizontal="right" vertical="center"/>
    </xf>
    <xf numFmtId="164" fontId="11" fillId="0" borderId="1" xfId="0" applyNumberFormat="1" applyFont="1" applyBorder="1" applyAlignment="1">
      <alignment horizontal="right" vertical="center"/>
    </xf>
    <xf numFmtId="166" fontId="11" fillId="0" borderId="1" xfId="0" applyNumberFormat="1" applyFont="1" applyBorder="1" applyAlignment="1">
      <alignment vertical="center"/>
    </xf>
    <xf numFmtId="166" fontId="11" fillId="0" borderId="38" xfId="0" applyNumberFormat="1" applyFont="1" applyBorder="1" applyAlignment="1">
      <alignment horizontal="right" vertical="center"/>
    </xf>
    <xf numFmtId="2" fontId="9" fillId="0" borderId="48" xfId="0" applyNumberFormat="1" applyFont="1" applyBorder="1" applyAlignment="1">
      <alignment horizontal="center" vertical="center"/>
    </xf>
    <xf numFmtId="167" fontId="10" fillId="0" borderId="49" xfId="1" applyNumberFormat="1" applyFont="1" applyFill="1" applyBorder="1" applyAlignment="1">
      <alignment horizontal="right" vertical="center"/>
    </xf>
    <xf numFmtId="167" fontId="10" fillId="0" borderId="49" xfId="1" applyNumberFormat="1" applyFont="1" applyFill="1" applyBorder="1" applyAlignment="1">
      <alignment horizontal="left" vertical="center" wrapText="1"/>
    </xf>
    <xf numFmtId="166" fontId="11" fillId="0" borderId="49" xfId="0" applyNumberFormat="1" applyFont="1" applyBorder="1" applyAlignment="1">
      <alignment vertical="center"/>
    </xf>
    <xf numFmtId="1" fontId="7" fillId="0" borderId="14" xfId="0" applyNumberFormat="1" applyFont="1" applyBorder="1" applyAlignment="1">
      <alignment horizontal="center" vertical="center" wrapText="1"/>
    </xf>
    <xf numFmtId="0" fontId="9" fillId="0" borderId="6"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vertical="center"/>
    </xf>
    <xf numFmtId="0" fontId="0" fillId="0" borderId="6" xfId="0" applyBorder="1" applyAlignment="1">
      <alignment vertical="center"/>
    </xf>
    <xf numFmtId="0" fontId="5" fillId="0" borderId="7" xfId="0" applyFont="1" applyBorder="1" applyAlignment="1">
      <alignment horizontal="center" vertical="center"/>
    </xf>
    <xf numFmtId="0" fontId="20" fillId="0" borderId="6" xfId="0" applyFont="1" applyBorder="1"/>
    <xf numFmtId="0" fontId="21" fillId="0" borderId="6" xfId="0" applyFont="1" applyBorder="1"/>
    <xf numFmtId="0" fontId="21" fillId="0" borderId="7" xfId="0" applyFont="1" applyBorder="1"/>
    <xf numFmtId="0" fontId="0" fillId="0" borderId="7" xfId="0" applyBorder="1"/>
    <xf numFmtId="0" fontId="21" fillId="0" borderId="10" xfId="0" applyFont="1" applyBorder="1"/>
    <xf numFmtId="0" fontId="2" fillId="0" borderId="11" xfId="0" applyFont="1" applyBorder="1"/>
    <xf numFmtId="167" fontId="2" fillId="0" borderId="11" xfId="0" applyNumberFormat="1" applyFont="1" applyBorder="1"/>
    <xf numFmtId="0" fontId="2" fillId="0" borderId="12" xfId="0" applyFont="1" applyBorder="1"/>
    <xf numFmtId="164" fontId="13" fillId="0" borderId="36" xfId="0" applyNumberFormat="1" applyFont="1" applyBorder="1" applyAlignment="1">
      <alignment horizontal="right" vertical="center" wrapText="1"/>
    </xf>
    <xf numFmtId="0" fontId="28" fillId="0" borderId="0" xfId="0" applyFont="1"/>
    <xf numFmtId="0" fontId="2" fillId="0" borderId="1" xfId="0" applyFont="1" applyBorder="1" applyAlignment="1">
      <alignment horizontal="center"/>
    </xf>
    <xf numFmtId="0" fontId="2" fillId="0" borderId="1" xfId="0" applyFont="1" applyBorder="1"/>
    <xf numFmtId="167" fontId="29" fillId="0" borderId="1" xfId="0" applyNumberFormat="1" applyFont="1" applyBorder="1"/>
    <xf numFmtId="0" fontId="29" fillId="0" borderId="1" xfId="0" applyFont="1" applyBorder="1"/>
    <xf numFmtId="167" fontId="10" fillId="0" borderId="1" xfId="0" applyNumberFormat="1" applyFont="1" applyBorder="1" applyAlignment="1">
      <alignment vertical="center"/>
    </xf>
    <xf numFmtId="167" fontId="0" fillId="0" borderId="1" xfId="0" applyNumberFormat="1" applyBorder="1"/>
    <xf numFmtId="166" fontId="11" fillId="0" borderId="38" xfId="0" applyNumberFormat="1" applyFont="1" applyBorder="1" applyAlignment="1">
      <alignment horizontal="center" vertical="center"/>
    </xf>
    <xf numFmtId="167" fontId="10" fillId="2" borderId="1" xfId="0" applyNumberFormat="1" applyFont="1" applyFill="1" applyBorder="1" applyAlignment="1">
      <alignment horizontal="right" vertical="center" wrapText="1"/>
    </xf>
    <xf numFmtId="0" fontId="0" fillId="2" borderId="6" xfId="0" applyFill="1" applyBorder="1" applyAlignment="1">
      <alignment horizontal="center" vertical="center" wrapText="1"/>
    </xf>
    <xf numFmtId="166" fontId="11" fillId="0" borderId="0" xfId="0" applyNumberFormat="1" applyFont="1" applyAlignment="1">
      <alignment horizontal="right" vertical="center"/>
    </xf>
    <xf numFmtId="0" fontId="19" fillId="0" borderId="0" xfId="0" applyFont="1" applyAlignment="1">
      <alignment horizontal="center" vertical="center"/>
    </xf>
    <xf numFmtId="0" fontId="19" fillId="0" borderId="0" xfId="0" applyFont="1" applyAlignment="1">
      <alignment vertical="center"/>
    </xf>
    <xf numFmtId="166" fontId="19" fillId="0" borderId="0" xfId="0" applyNumberFormat="1" applyFont="1" applyAlignment="1">
      <alignment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9" fontId="0" fillId="0" borderId="0" xfId="0" applyNumberFormat="1"/>
    <xf numFmtId="167" fontId="10" fillId="8" borderId="1" xfId="0" applyNumberFormat="1" applyFont="1" applyFill="1" applyBorder="1" applyAlignment="1">
      <alignment horizontal="right" vertical="center" wrapText="1"/>
    </xf>
    <xf numFmtId="167" fontId="10" fillId="8" borderId="36" xfId="0" applyNumberFormat="1" applyFont="1" applyFill="1" applyBorder="1" applyAlignment="1">
      <alignment horizontal="right" vertical="center" wrapText="1"/>
    </xf>
    <xf numFmtId="0" fontId="31" fillId="0" borderId="1" xfId="0" applyFont="1" applyBorder="1" applyAlignment="1">
      <alignment horizontal="center" vertical="center" wrapText="1"/>
    </xf>
    <xf numFmtId="164" fontId="0" fillId="0" borderId="1" xfId="3" applyNumberFormat="1" applyFont="1" applyBorder="1" applyAlignment="1">
      <alignment vertical="center" wrapText="1"/>
    </xf>
    <xf numFmtId="164" fontId="2" fillId="0" borderId="1" xfId="0" applyNumberFormat="1" applyFont="1" applyBorder="1" applyAlignment="1">
      <alignment vertical="center" wrapText="1"/>
    </xf>
    <xf numFmtId="43" fontId="0" fillId="0" borderId="0" xfId="0" applyNumberFormat="1" applyAlignment="1">
      <alignment vertical="center"/>
    </xf>
    <xf numFmtId="0" fontId="2" fillId="0" borderId="1" xfId="0" applyFont="1" applyBorder="1" applyAlignment="1">
      <alignment horizontal="center" wrapText="1"/>
    </xf>
    <xf numFmtId="164" fontId="32" fillId="0" borderId="1" xfId="0" applyNumberFormat="1" applyFont="1" applyBorder="1" applyAlignment="1">
      <alignment vertical="center"/>
    </xf>
    <xf numFmtId="0" fontId="0" fillId="0" borderId="0" xfId="0" applyAlignment="1">
      <alignment wrapText="1"/>
    </xf>
    <xf numFmtId="10" fontId="0" fillId="0" borderId="1" xfId="4" applyNumberFormat="1" applyFont="1" applyBorder="1"/>
    <xf numFmtId="0" fontId="0" fillId="2" borderId="4" xfId="0" applyFill="1" applyBorder="1" applyAlignment="1">
      <alignment vertical="center"/>
    </xf>
    <xf numFmtId="164" fontId="13" fillId="8" borderId="1" xfId="0" applyNumberFormat="1" applyFont="1" applyFill="1" applyBorder="1" applyAlignment="1">
      <alignment horizontal="right" vertical="center"/>
    </xf>
    <xf numFmtId="167" fontId="10" fillId="0" borderId="0" xfId="0" applyNumberFormat="1" applyFont="1" applyAlignment="1">
      <alignment horizontal="left" vertical="center" wrapText="1"/>
    </xf>
    <xf numFmtId="167" fontId="10" fillId="0" borderId="0" xfId="1" applyNumberFormat="1" applyFont="1" applyFill="1" applyBorder="1" applyAlignment="1">
      <alignment horizontal="left" vertical="center" wrapText="1"/>
    </xf>
    <xf numFmtId="164" fontId="12" fillId="0" borderId="7" xfId="1" applyNumberFormat="1" applyFont="1" applyFill="1" applyBorder="1" applyAlignment="1">
      <alignment horizontal="right" vertical="center"/>
    </xf>
    <xf numFmtId="0" fontId="0" fillId="2" borderId="7" xfId="0" applyFill="1" applyBorder="1" applyAlignment="1">
      <alignment vertical="center" wrapText="1"/>
    </xf>
    <xf numFmtId="164" fontId="11" fillId="0" borderId="1" xfId="1" applyNumberFormat="1" applyFont="1" applyFill="1" applyBorder="1" applyAlignment="1">
      <alignment vertical="center"/>
    </xf>
    <xf numFmtId="167" fontId="10" fillId="2" borderId="54" xfId="1" applyNumberFormat="1" applyFont="1" applyFill="1" applyBorder="1" applyAlignment="1">
      <alignment horizontal="right" vertical="center"/>
    </xf>
    <xf numFmtId="0" fontId="33" fillId="10" borderId="1" xfId="0" applyFont="1" applyFill="1" applyBorder="1" applyAlignment="1">
      <alignment horizontal="center" vertical="center" wrapText="1"/>
    </xf>
    <xf numFmtId="0" fontId="34" fillId="0" borderId="1" xfId="0" applyFont="1" applyBorder="1" applyAlignment="1">
      <alignment vertical="center" wrapText="1"/>
    </xf>
    <xf numFmtId="164" fontId="34" fillId="0" borderId="1" xfId="0" applyNumberFormat="1" applyFont="1" applyBorder="1" applyAlignment="1">
      <alignment vertical="center" wrapText="1"/>
    </xf>
    <xf numFmtId="164" fontId="12" fillId="10" borderId="1" xfId="0" applyNumberFormat="1" applyFont="1" applyFill="1" applyBorder="1" applyAlignment="1">
      <alignment vertical="center" wrapText="1"/>
    </xf>
    <xf numFmtId="167" fontId="17" fillId="0" borderId="0" xfId="0" applyNumberFormat="1" applyFont="1"/>
    <xf numFmtId="0" fontId="17" fillId="0" borderId="2" xfId="0" applyFont="1" applyBorder="1" applyAlignment="1">
      <alignment horizontal="center"/>
    </xf>
    <xf numFmtId="0" fontId="17" fillId="0" borderId="3" xfId="0" applyFont="1" applyBorder="1" applyAlignment="1">
      <alignment horizontal="center"/>
    </xf>
    <xf numFmtId="0" fontId="17" fillId="2" borderId="3" xfId="0" applyFont="1" applyFill="1" applyBorder="1" applyAlignment="1">
      <alignment horizontal="center"/>
    </xf>
    <xf numFmtId="164" fontId="13" fillId="0" borderId="0" xfId="0" applyNumberFormat="1" applyFont="1" applyAlignment="1">
      <alignment horizontal="right" vertical="center" wrapText="1"/>
    </xf>
    <xf numFmtId="0" fontId="0" fillId="0" borderId="11" xfId="0" applyBorder="1"/>
    <xf numFmtId="167" fontId="17" fillId="0" borderId="11" xfId="0" applyNumberFormat="1" applyFont="1" applyBorder="1"/>
    <xf numFmtId="164" fontId="13" fillId="2" borderId="54" xfId="0" applyNumberFormat="1" applyFont="1" applyFill="1" applyBorder="1" applyAlignment="1">
      <alignment horizontal="right" vertical="center"/>
    </xf>
    <xf numFmtId="0" fontId="28" fillId="0" borderId="1" xfId="0" applyFont="1" applyBorder="1"/>
    <xf numFmtId="164" fontId="28" fillId="0" borderId="1" xfId="0" applyNumberFormat="1" applyFont="1" applyBorder="1"/>
    <xf numFmtId="0" fontId="0" fillId="0" borderId="0" xfId="0" applyAlignment="1">
      <alignment horizontal="center" vertical="center" wrapText="1"/>
    </xf>
    <xf numFmtId="167" fontId="10" fillId="0" borderId="0" xfId="0" applyNumberFormat="1" applyFont="1" applyBorder="1" applyAlignment="1">
      <alignment horizontal="left" vertical="center" wrapText="1"/>
    </xf>
    <xf numFmtId="167" fontId="10" fillId="0" borderId="1" xfId="0" applyNumberFormat="1" applyFont="1" applyFill="1" applyBorder="1" applyAlignment="1">
      <alignment horizontal="left" vertical="center" wrapText="1"/>
    </xf>
    <xf numFmtId="167" fontId="11" fillId="0" borderId="1" xfId="0" applyNumberFormat="1" applyFont="1" applyFill="1" applyBorder="1" applyAlignment="1">
      <alignment horizontal="right" vertical="center"/>
    </xf>
    <xf numFmtId="0" fontId="0" fillId="0" borderId="0" xfId="0" applyFill="1"/>
    <xf numFmtId="164" fontId="0" fillId="0" borderId="0" xfId="0" applyNumberFormat="1" applyFill="1"/>
    <xf numFmtId="167" fontId="0" fillId="0" borderId="0" xfId="0" applyNumberFormat="1" applyFill="1"/>
    <xf numFmtId="167" fontId="17" fillId="0" borderId="0" xfId="0" applyNumberFormat="1" applyFont="1" applyBorder="1"/>
    <xf numFmtId="164" fontId="13" fillId="0" borderId="1" xfId="0" applyNumberFormat="1" applyFont="1" applyFill="1" applyBorder="1" applyAlignment="1">
      <alignment horizontal="right" vertical="center" wrapText="1"/>
    </xf>
    <xf numFmtId="0" fontId="0" fillId="0" borderId="7" xfId="0" applyFill="1" applyBorder="1" applyAlignment="1">
      <alignment vertical="center"/>
    </xf>
    <xf numFmtId="0" fontId="0" fillId="2" borderId="0" xfId="0" applyFill="1" applyBorder="1" applyAlignment="1">
      <alignment horizontal="center" vertical="center" wrapText="1"/>
    </xf>
    <xf numFmtId="0" fontId="0" fillId="0" borderId="0" xfId="0" applyBorder="1" applyAlignment="1">
      <alignment vertical="center"/>
    </xf>
    <xf numFmtId="0" fontId="0" fillId="8" borderId="6" xfId="0" applyFill="1" applyBorder="1" applyAlignment="1">
      <alignment horizontal="center" vertical="center" wrapText="1"/>
    </xf>
    <xf numFmtId="0" fontId="0" fillId="8" borderId="2" xfId="0" applyFill="1" applyBorder="1" applyAlignment="1">
      <alignment horizontal="center" vertical="center"/>
    </xf>
    <xf numFmtId="167" fontId="10" fillId="8" borderId="54" xfId="1" applyNumberFormat="1" applyFont="1" applyFill="1" applyBorder="1" applyAlignment="1">
      <alignment horizontal="left" vertical="center" wrapText="1"/>
    </xf>
    <xf numFmtId="167" fontId="10" fillId="8" borderId="54" xfId="1" applyNumberFormat="1" applyFont="1" applyFill="1" applyBorder="1" applyAlignment="1">
      <alignment horizontal="right" vertical="center"/>
    </xf>
    <xf numFmtId="0" fontId="0" fillId="8" borderId="0" xfId="0" applyFill="1"/>
    <xf numFmtId="167" fontId="10" fillId="8" borderId="1" xfId="0" applyNumberFormat="1" applyFont="1" applyFill="1" applyBorder="1" applyAlignment="1">
      <alignment horizontal="left" vertical="center" wrapText="1"/>
    </xf>
    <xf numFmtId="0" fontId="30" fillId="0" borderId="0" xfId="0" applyFont="1" applyFill="1" applyAlignment="1">
      <alignment horizontal="center" vertical="center" wrapText="1"/>
    </xf>
    <xf numFmtId="0" fontId="9" fillId="0" borderId="10" xfId="0" applyFont="1" applyFill="1" applyBorder="1" applyAlignment="1">
      <alignment horizontal="center" vertical="center"/>
    </xf>
    <xf numFmtId="14" fontId="35" fillId="0" borderId="11" xfId="0" applyNumberFormat="1" applyFont="1" applyFill="1" applyBorder="1" applyAlignment="1">
      <alignment vertical="center" wrapText="1"/>
    </xf>
    <xf numFmtId="0" fontId="3" fillId="0" borderId="11" xfId="0" applyFont="1" applyFill="1" applyBorder="1" applyAlignment="1">
      <alignment vertical="center" wrapText="1"/>
    </xf>
    <xf numFmtId="0" fontId="3" fillId="0" borderId="12"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14" fontId="6" fillId="0" borderId="14"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0" fontId="8" fillId="0" borderId="50" xfId="0" applyFont="1" applyFill="1" applyBorder="1" applyAlignment="1">
      <alignment horizontal="center" vertical="center"/>
    </xf>
    <xf numFmtId="164" fontId="8" fillId="0" borderId="52" xfId="0" applyNumberFormat="1" applyFont="1" applyFill="1" applyBorder="1" applyAlignment="1">
      <alignment horizontal="right" vertical="center"/>
    </xf>
    <xf numFmtId="167" fontId="10" fillId="0" borderId="18" xfId="0" applyNumberFormat="1" applyFont="1" applyFill="1" applyBorder="1" applyAlignment="1">
      <alignment horizontal="left" vertical="center" wrapText="1"/>
    </xf>
    <xf numFmtId="167" fontId="10" fillId="0" borderId="1" xfId="0" applyNumberFormat="1" applyFont="1" applyFill="1" applyBorder="1" applyAlignment="1">
      <alignment horizontal="right" vertical="center" wrapText="1"/>
    </xf>
    <xf numFmtId="167" fontId="10" fillId="0" borderId="35" xfId="0" applyNumberFormat="1" applyFont="1" applyFill="1" applyBorder="1" applyAlignment="1">
      <alignment horizontal="left" vertical="center" wrapText="1"/>
    </xf>
    <xf numFmtId="0" fontId="8" fillId="0" borderId="15" xfId="0" applyFont="1" applyFill="1" applyBorder="1" applyAlignment="1">
      <alignment horizontal="center" vertical="center"/>
    </xf>
    <xf numFmtId="164" fontId="8" fillId="0" borderId="16" xfId="0" applyNumberFormat="1" applyFont="1" applyFill="1" applyBorder="1" applyAlignment="1">
      <alignment horizontal="right" vertical="center"/>
    </xf>
    <xf numFmtId="164" fontId="13" fillId="0" borderId="18" xfId="0" applyNumberFormat="1" applyFont="1" applyFill="1" applyBorder="1" applyAlignment="1">
      <alignment horizontal="right" vertical="center"/>
    </xf>
    <xf numFmtId="164" fontId="13" fillId="0" borderId="1" xfId="0" applyNumberFormat="1" applyFont="1" applyFill="1" applyBorder="1" applyAlignment="1">
      <alignment horizontal="right" vertical="center"/>
    </xf>
    <xf numFmtId="164" fontId="11" fillId="0" borderId="1" xfId="0" applyNumberFormat="1" applyFont="1" applyFill="1" applyBorder="1" applyAlignment="1">
      <alignment horizontal="right" vertical="center"/>
    </xf>
    <xf numFmtId="164" fontId="13" fillId="0" borderId="35" xfId="0" applyNumberFormat="1" applyFont="1" applyFill="1" applyBorder="1" applyAlignment="1">
      <alignment horizontal="right" vertical="center" wrapText="1"/>
    </xf>
    <xf numFmtId="164" fontId="15" fillId="0" borderId="35" xfId="0" applyNumberFormat="1" applyFont="1" applyFill="1" applyBorder="1" applyAlignment="1">
      <alignment horizontal="right" vertical="center"/>
    </xf>
    <xf numFmtId="0" fontId="8" fillId="0" borderId="48" xfId="0" applyFont="1" applyFill="1" applyBorder="1" applyAlignment="1">
      <alignment horizontal="center" vertical="center"/>
    </xf>
    <xf numFmtId="164" fontId="8" fillId="0" borderId="9" xfId="0" applyNumberFormat="1" applyFont="1" applyFill="1" applyBorder="1" applyAlignment="1">
      <alignment horizontal="right" vertical="center"/>
    </xf>
    <xf numFmtId="0" fontId="9" fillId="0" borderId="62" xfId="0" applyFont="1" applyFill="1" applyBorder="1" applyAlignment="1">
      <alignment horizontal="center" vertical="center"/>
    </xf>
    <xf numFmtId="166" fontId="11" fillId="0" borderId="45" xfId="0" applyNumberFormat="1" applyFont="1" applyFill="1" applyBorder="1" applyAlignment="1">
      <alignment horizontal="right" vertical="center"/>
    </xf>
    <xf numFmtId="166" fontId="11" fillId="0" borderId="29" xfId="0" applyNumberFormat="1" applyFont="1" applyFill="1" applyBorder="1" applyAlignment="1">
      <alignment horizontal="right" vertical="center"/>
    </xf>
    <xf numFmtId="164" fontId="11" fillId="0" borderId="29" xfId="0" applyNumberFormat="1" applyFont="1" applyFill="1" applyBorder="1" applyAlignment="1">
      <alignment horizontal="right" vertical="center"/>
    </xf>
    <xf numFmtId="0" fontId="9" fillId="0" borderId="28" xfId="0" applyFont="1" applyFill="1" applyBorder="1" applyAlignment="1">
      <alignment horizontal="center" vertical="center"/>
    </xf>
    <xf numFmtId="164" fontId="11" fillId="0" borderId="21" xfId="0" applyNumberFormat="1" applyFont="1" applyFill="1" applyBorder="1" applyAlignment="1">
      <alignment vertical="center"/>
    </xf>
    <xf numFmtId="0" fontId="9" fillId="0" borderId="6" xfId="0" applyFont="1" applyFill="1" applyBorder="1" applyAlignment="1">
      <alignment horizontal="center" vertical="center"/>
    </xf>
    <xf numFmtId="0" fontId="9" fillId="0" borderId="40" xfId="0" applyFont="1" applyFill="1" applyBorder="1" applyAlignment="1">
      <alignment horizontal="center" vertical="center"/>
    </xf>
    <xf numFmtId="1" fontId="7" fillId="0" borderId="14" xfId="0" applyNumberFormat="1" applyFont="1" applyFill="1" applyBorder="1" applyAlignment="1">
      <alignment horizontal="center" vertical="center" wrapText="1"/>
    </xf>
    <xf numFmtId="164" fontId="11" fillId="0" borderId="36" xfId="0" applyNumberFormat="1" applyFont="1" applyFill="1" applyBorder="1" applyAlignment="1">
      <alignment horizontal="right" vertical="center"/>
    </xf>
    <xf numFmtId="0" fontId="19" fillId="0" borderId="7" xfId="0" applyFont="1" applyFill="1" applyBorder="1" applyAlignment="1">
      <alignment vertical="center"/>
    </xf>
    <xf numFmtId="0" fontId="0" fillId="0" borderId="6" xfId="0" applyFill="1" applyBorder="1" applyAlignment="1">
      <alignment vertical="center"/>
    </xf>
    <xf numFmtId="0" fontId="20" fillId="0" borderId="6" xfId="0" applyFont="1" applyFill="1" applyBorder="1"/>
    <xf numFmtId="0" fontId="21" fillId="0" borderId="6" xfId="0" applyFont="1" applyFill="1" applyBorder="1"/>
    <xf numFmtId="0" fontId="21" fillId="0" borderId="7" xfId="0" applyFont="1" applyFill="1" applyBorder="1"/>
    <xf numFmtId="0" fontId="0" fillId="0" borderId="7" xfId="0" applyFill="1" applyBorder="1"/>
    <xf numFmtId="0" fontId="21" fillId="0" borderId="10" xfId="0" applyFont="1" applyFill="1" applyBorder="1"/>
    <xf numFmtId="0" fontId="2" fillId="0" borderId="11" xfId="0" applyFont="1" applyFill="1" applyBorder="1"/>
    <xf numFmtId="167" fontId="2" fillId="0" borderId="11" xfId="0" applyNumberFormat="1" applyFont="1" applyFill="1" applyBorder="1"/>
    <xf numFmtId="0" fontId="2" fillId="0" borderId="12" xfId="0" applyFont="1" applyFill="1" applyBorder="1"/>
    <xf numFmtId="0" fontId="9" fillId="0" borderId="20" xfId="0" applyFont="1" applyFill="1" applyBorder="1" applyAlignment="1">
      <alignment horizontal="center" vertical="center"/>
    </xf>
    <xf numFmtId="0" fontId="9" fillId="0" borderId="17" xfId="0" applyFont="1" applyFill="1" applyBorder="1" applyAlignment="1">
      <alignment horizontal="center" vertical="center"/>
    </xf>
    <xf numFmtId="167" fontId="11" fillId="0" borderId="18"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5" fillId="0" borderId="2" xfId="0" applyFont="1" applyFill="1" applyBorder="1" applyAlignment="1">
      <alignment horizontal="center" vertical="center"/>
    </xf>
    <xf numFmtId="0" fontId="9" fillId="0" borderId="19" xfId="0" applyFont="1" applyFill="1" applyBorder="1" applyAlignment="1">
      <alignment horizontal="center" vertical="center"/>
    </xf>
    <xf numFmtId="164" fontId="15" fillId="0" borderId="1" xfId="0" applyNumberFormat="1" applyFont="1" applyFill="1" applyBorder="1" applyAlignment="1">
      <alignment horizontal="right" vertical="center"/>
    </xf>
    <xf numFmtId="0" fontId="5" fillId="0" borderId="7" xfId="0" applyFont="1" applyFill="1" applyBorder="1" applyAlignment="1">
      <alignment horizontal="center" vertical="center"/>
    </xf>
    <xf numFmtId="0" fontId="19" fillId="0" borderId="6" xfId="0" applyFont="1" applyFill="1" applyBorder="1" applyAlignment="1">
      <alignment horizontal="center" vertical="center"/>
    </xf>
    <xf numFmtId="0" fontId="0" fillId="0" borderId="4" xfId="0" applyFill="1" applyBorder="1" applyAlignment="1">
      <alignment vertical="center"/>
    </xf>
    <xf numFmtId="167" fontId="10" fillId="0" borderId="36" xfId="0" applyNumberFormat="1" applyFont="1" applyFill="1" applyBorder="1" applyAlignment="1">
      <alignment horizontal="right" vertical="center" wrapText="1"/>
    </xf>
    <xf numFmtId="167" fontId="10" fillId="0" borderId="36" xfId="0" applyNumberFormat="1" applyFont="1" applyFill="1" applyBorder="1" applyAlignment="1">
      <alignment horizontal="left" vertical="center" wrapText="1"/>
    </xf>
    <xf numFmtId="167" fontId="11" fillId="0" borderId="36" xfId="0" applyNumberFormat="1" applyFont="1" applyFill="1" applyBorder="1" applyAlignment="1">
      <alignment horizontal="right" vertical="center"/>
    </xf>
    <xf numFmtId="164" fontId="13" fillId="0" borderId="36" xfId="0" applyNumberFormat="1" applyFont="1" applyFill="1" applyBorder="1" applyAlignment="1">
      <alignment horizontal="right" vertical="center" wrapText="1"/>
    </xf>
    <xf numFmtId="164" fontId="15" fillId="0" borderId="36" xfId="0" applyNumberFormat="1" applyFont="1" applyFill="1" applyBorder="1" applyAlignment="1">
      <alignment horizontal="right" vertical="center"/>
    </xf>
    <xf numFmtId="0" fontId="10" fillId="0" borderId="0" xfId="0" applyFont="1" applyFill="1" applyBorder="1" applyAlignment="1">
      <alignment horizontal="left" vertical="center" wrapText="1"/>
    </xf>
    <xf numFmtId="164" fontId="11" fillId="0" borderId="0" xfId="0" applyNumberFormat="1" applyFont="1" applyFill="1" applyBorder="1" applyAlignment="1">
      <alignment horizontal="center" vertical="center"/>
    </xf>
    <xf numFmtId="166" fontId="11" fillId="0" borderId="0" xfId="0" applyNumberFormat="1" applyFont="1" applyFill="1" applyBorder="1" applyAlignment="1">
      <alignment horizontal="right" vertical="center"/>
    </xf>
    <xf numFmtId="0" fontId="19" fillId="0" borderId="0" xfId="0" applyFont="1" applyFill="1" applyBorder="1" applyAlignment="1">
      <alignment vertical="center"/>
    </xf>
    <xf numFmtId="0" fontId="19" fillId="0" borderId="0" xfId="0" applyFont="1" applyFill="1" applyBorder="1" applyAlignment="1">
      <alignment horizontal="center" vertical="center"/>
    </xf>
    <xf numFmtId="166" fontId="19" fillId="0" borderId="0" xfId="0" applyNumberFormat="1" applyFont="1" applyFill="1" applyBorder="1" applyAlignment="1">
      <alignment vertical="center"/>
    </xf>
    <xf numFmtId="0" fontId="5" fillId="0" borderId="0" xfId="0" applyFont="1" applyFill="1" applyBorder="1" applyAlignment="1">
      <alignment horizontal="center" vertical="center"/>
    </xf>
    <xf numFmtId="167" fontId="5" fillId="0" borderId="0" xfId="0" applyNumberFormat="1" applyFont="1" applyFill="1" applyBorder="1" applyAlignment="1">
      <alignment horizontal="center" vertical="center"/>
    </xf>
    <xf numFmtId="0" fontId="0" fillId="0" borderId="0" xfId="0" applyFill="1" applyBorder="1"/>
    <xf numFmtId="167" fontId="0" fillId="0" borderId="0" xfId="0" applyNumberFormat="1" applyFill="1" applyBorder="1"/>
    <xf numFmtId="2" fontId="30" fillId="0" borderId="0" xfId="0" applyNumberFormat="1" applyFont="1" applyFill="1" applyAlignment="1">
      <alignment horizontal="center" vertical="center" wrapText="1"/>
    </xf>
    <xf numFmtId="2" fontId="0" fillId="0" borderId="0" xfId="0" applyNumberFormat="1" applyFill="1"/>
    <xf numFmtId="164" fontId="7" fillId="0" borderId="5" xfId="0" applyNumberFormat="1" applyFont="1" applyBorder="1" applyAlignment="1">
      <alignment horizontal="center" vertical="center"/>
    </xf>
    <xf numFmtId="164" fontId="7" fillId="0" borderId="8" xfId="0" applyNumberFormat="1" applyFont="1" applyBorder="1" applyAlignment="1">
      <alignment horizontal="center" vertic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20" xfId="0" applyFont="1" applyBorder="1" applyAlignment="1">
      <alignment horizontal="center" vertical="center"/>
    </xf>
    <xf numFmtId="0" fontId="9" fillId="0" borderId="17" xfId="0" applyFont="1" applyBorder="1" applyAlignment="1">
      <alignment horizontal="center" vertical="center"/>
    </xf>
    <xf numFmtId="164" fontId="11" fillId="0" borderId="35" xfId="1" applyNumberFormat="1" applyFont="1" applyFill="1" applyBorder="1" applyAlignment="1">
      <alignment horizontal="right" vertical="center"/>
    </xf>
    <xf numFmtId="164" fontId="11" fillId="0" borderId="18" xfId="1" applyNumberFormat="1" applyFont="1" applyFill="1" applyBorder="1" applyAlignment="1">
      <alignment horizontal="right" vertical="center"/>
    </xf>
    <xf numFmtId="164" fontId="14" fillId="0" borderId="37" xfId="0" applyNumberFormat="1" applyFont="1" applyBorder="1" applyAlignment="1">
      <alignment horizontal="center" vertical="center"/>
    </xf>
    <xf numFmtId="164" fontId="14" fillId="0" borderId="32" xfId="0" applyNumberFormat="1" applyFont="1" applyBorder="1" applyAlignment="1">
      <alignment horizontal="center" vertical="center"/>
    </xf>
    <xf numFmtId="164" fontId="14" fillId="0" borderId="7" xfId="0" applyNumberFormat="1" applyFont="1" applyBorder="1" applyAlignment="1">
      <alignment horizontal="center" vertical="center"/>
    </xf>
    <xf numFmtId="164" fontId="14" fillId="0" borderId="12" xfId="0" applyNumberFormat="1" applyFont="1" applyBorder="1" applyAlignment="1">
      <alignment horizontal="center" vertical="center"/>
    </xf>
    <xf numFmtId="0" fontId="10" fillId="9" borderId="45" xfId="0" applyFont="1" applyFill="1" applyBorder="1" applyAlignment="1">
      <alignment horizontal="left" vertical="center" wrapText="1"/>
    </xf>
    <xf numFmtId="0" fontId="10" fillId="9" borderId="46" xfId="0" applyFont="1" applyFill="1" applyBorder="1" applyAlignment="1">
      <alignment horizontal="left" vertical="center" wrapText="1"/>
    </xf>
    <xf numFmtId="0" fontId="10" fillId="9" borderId="47" xfId="0" applyFont="1" applyFill="1" applyBorder="1" applyAlignment="1">
      <alignment horizontal="left" vertical="center" wrapText="1"/>
    </xf>
    <xf numFmtId="164" fontId="7" fillId="0" borderId="9" xfId="0" applyNumberFormat="1" applyFont="1" applyBorder="1" applyAlignment="1">
      <alignment horizontal="center" vertical="center"/>
    </xf>
    <xf numFmtId="0" fontId="6" fillId="0" borderId="15" xfId="0" applyFont="1" applyBorder="1" applyAlignment="1">
      <alignment horizontal="center" vertical="center" wrapText="1"/>
    </xf>
    <xf numFmtId="0" fontId="6" fillId="0" borderId="13" xfId="0" applyFont="1" applyBorder="1" applyAlignment="1">
      <alignment horizontal="center" vertical="center" wrapText="1"/>
    </xf>
    <xf numFmtId="0" fontId="10" fillId="9" borderId="29" xfId="0" applyFont="1" applyFill="1" applyBorder="1" applyAlignment="1">
      <alignment horizontal="left" vertical="center" wrapText="1"/>
    </xf>
    <xf numFmtId="0" fontId="10" fillId="9" borderId="30" xfId="0" applyFont="1" applyFill="1" applyBorder="1" applyAlignment="1">
      <alignment horizontal="left" vertical="center" wrapText="1"/>
    </xf>
    <xf numFmtId="0" fontId="10" fillId="9" borderId="31" xfId="0" applyFont="1" applyFill="1" applyBorder="1" applyAlignment="1">
      <alignment horizontal="left" vertical="center" wrapText="1"/>
    </xf>
    <xf numFmtId="0" fontId="10" fillId="9" borderId="21" xfId="0" applyFont="1" applyFill="1" applyBorder="1" applyAlignment="1">
      <alignment horizontal="left" vertical="center" wrapText="1"/>
    </xf>
    <xf numFmtId="0" fontId="10" fillId="9" borderId="22" xfId="0" applyFont="1" applyFill="1" applyBorder="1" applyAlignment="1">
      <alignment horizontal="left" vertical="center" wrapText="1"/>
    </xf>
    <xf numFmtId="0" fontId="10" fillId="9" borderId="23" xfId="0" applyFont="1" applyFill="1" applyBorder="1" applyAlignment="1">
      <alignment horizontal="left" vertical="center" wrapText="1"/>
    </xf>
    <xf numFmtId="0" fontId="10" fillId="9" borderId="25" xfId="0" applyFont="1" applyFill="1" applyBorder="1" applyAlignment="1">
      <alignment horizontal="left" vertical="center" wrapText="1"/>
    </xf>
    <xf numFmtId="0" fontId="10" fillId="9" borderId="26" xfId="0" applyFont="1" applyFill="1" applyBorder="1" applyAlignment="1">
      <alignment horizontal="left" vertical="center" wrapText="1"/>
    </xf>
    <xf numFmtId="0" fontId="10" fillId="9" borderId="27" xfId="0" applyFont="1" applyFill="1" applyBorder="1" applyAlignment="1">
      <alignment horizontal="left" vertical="center" wrapText="1"/>
    </xf>
    <xf numFmtId="0" fontId="17" fillId="9" borderId="29" xfId="0" applyFont="1" applyFill="1" applyBorder="1" applyAlignment="1">
      <alignment horizontal="left" vertical="center" wrapText="1"/>
    </xf>
    <xf numFmtId="0" fontId="17" fillId="9" borderId="30" xfId="0" applyFont="1" applyFill="1" applyBorder="1" applyAlignment="1">
      <alignment horizontal="left" vertical="center" wrapText="1"/>
    </xf>
    <xf numFmtId="0" fontId="17" fillId="9" borderId="31" xfId="0" applyFont="1" applyFill="1" applyBorder="1" applyAlignment="1">
      <alignment horizontal="left" vertical="center" wrapText="1"/>
    </xf>
    <xf numFmtId="0" fontId="17" fillId="8" borderId="29" xfId="0" applyFont="1" applyFill="1" applyBorder="1" applyAlignment="1">
      <alignment horizontal="left" vertical="center" wrapText="1"/>
    </xf>
    <xf numFmtId="0" fontId="17" fillId="8" borderId="30" xfId="0" applyFont="1" applyFill="1" applyBorder="1" applyAlignment="1">
      <alignment horizontal="left" vertical="center" wrapText="1"/>
    </xf>
    <xf numFmtId="0" fontId="17" fillId="8" borderId="31" xfId="0" applyFont="1" applyFill="1" applyBorder="1" applyAlignment="1">
      <alignment horizontal="left" vertical="center" wrapText="1"/>
    </xf>
    <xf numFmtId="0" fontId="10" fillId="9" borderId="1" xfId="0" applyFont="1" applyFill="1" applyBorder="1" applyAlignment="1">
      <alignment horizontal="left" vertical="center" wrapText="1"/>
    </xf>
    <xf numFmtId="0" fontId="9" fillId="0" borderId="19" xfId="0" applyFont="1" applyBorder="1" applyAlignment="1">
      <alignment horizontal="center" vertical="center"/>
    </xf>
    <xf numFmtId="0" fontId="10" fillId="2" borderId="1" xfId="0" applyFont="1" applyFill="1" applyBorder="1" applyAlignment="1">
      <alignment horizontal="left" vertical="center" wrapText="1"/>
    </xf>
    <xf numFmtId="167" fontId="11" fillId="0" borderId="1" xfId="0" applyNumberFormat="1" applyFont="1" applyBorder="1" applyAlignment="1">
      <alignment horizontal="right" vertical="center"/>
    </xf>
    <xf numFmtId="164" fontId="11" fillId="0" borderId="35" xfId="0" applyNumberFormat="1" applyFont="1" applyBorder="1" applyAlignment="1">
      <alignment horizontal="right" vertical="center"/>
    </xf>
    <xf numFmtId="164" fontId="11" fillId="0" borderId="18" xfId="0" applyNumberFormat="1" applyFont="1" applyBorder="1" applyAlignment="1">
      <alignment horizontal="right" vertical="center"/>
    </xf>
    <xf numFmtId="2" fontId="9" fillId="0" borderId="19" xfId="0" applyNumberFormat="1" applyFont="1" applyBorder="1" applyAlignment="1">
      <alignment horizontal="center" vertical="center"/>
    </xf>
    <xf numFmtId="2" fontId="9" fillId="0" borderId="40" xfId="0" applyNumberFormat="1" applyFont="1" applyBorder="1" applyAlignment="1">
      <alignment horizontal="center" vertical="center"/>
    </xf>
    <xf numFmtId="0" fontId="10" fillId="8" borderId="1" xfId="0" applyFont="1" applyFill="1" applyBorder="1" applyAlignment="1">
      <alignment horizontal="left" vertical="center" wrapText="1"/>
    </xf>
    <xf numFmtId="0" fontId="10" fillId="8" borderId="36" xfId="0" applyFont="1" applyFill="1" applyBorder="1" applyAlignment="1">
      <alignment horizontal="left" vertical="center" wrapText="1"/>
    </xf>
    <xf numFmtId="167" fontId="11" fillId="0" borderId="35" xfId="0" applyNumberFormat="1" applyFont="1" applyBorder="1" applyAlignment="1">
      <alignment vertical="center"/>
    </xf>
    <xf numFmtId="167" fontId="11" fillId="0" borderId="49" xfId="0" applyNumberFormat="1" applyFont="1" applyBorder="1" applyAlignment="1">
      <alignment vertical="center"/>
    </xf>
    <xf numFmtId="0" fontId="10" fillId="0" borderId="1" xfId="0" applyFont="1" applyBorder="1" applyAlignment="1">
      <alignment horizontal="left" vertical="center" wrapText="1"/>
    </xf>
    <xf numFmtId="0" fontId="10" fillId="8" borderId="21" xfId="0" applyFont="1" applyFill="1" applyBorder="1" applyAlignment="1">
      <alignment horizontal="left" vertical="center" wrapText="1"/>
    </xf>
    <xf numFmtId="0" fontId="10" fillId="8" borderId="22" xfId="0" applyFont="1" applyFill="1" applyBorder="1" applyAlignment="1">
      <alignment horizontal="left" vertical="center" wrapText="1"/>
    </xf>
    <xf numFmtId="0" fontId="10" fillId="8" borderId="23" xfId="0" applyFont="1" applyFill="1" applyBorder="1" applyAlignment="1">
      <alignment horizontal="left" vertical="center" wrapText="1"/>
    </xf>
    <xf numFmtId="0" fontId="10" fillId="8" borderId="33" xfId="0" applyFont="1" applyFill="1" applyBorder="1" applyAlignment="1">
      <alignment horizontal="left" vertical="center" wrapText="1"/>
    </xf>
    <xf numFmtId="0" fontId="10" fillId="8" borderId="0" xfId="0" applyFont="1" applyFill="1" applyAlignment="1">
      <alignment horizontal="left" vertical="center" wrapText="1"/>
    </xf>
    <xf numFmtId="0" fontId="10" fillId="8" borderId="34" xfId="0" applyFont="1" applyFill="1" applyBorder="1" applyAlignment="1">
      <alignment horizontal="left" vertical="center" wrapText="1"/>
    </xf>
    <xf numFmtId="0" fontId="10" fillId="8" borderId="25" xfId="0" applyFont="1" applyFill="1" applyBorder="1" applyAlignment="1">
      <alignment horizontal="left" vertical="center" wrapText="1"/>
    </xf>
    <xf numFmtId="0" fontId="10" fillId="8" borderId="26" xfId="0" applyFont="1" applyFill="1" applyBorder="1" applyAlignment="1">
      <alignment horizontal="left" vertical="center" wrapText="1"/>
    </xf>
    <xf numFmtId="0" fontId="10" fillId="8" borderId="27" xfId="0" applyFont="1" applyFill="1" applyBorder="1" applyAlignment="1">
      <alignment horizontal="left" vertical="center" wrapText="1"/>
    </xf>
    <xf numFmtId="0" fontId="9" fillId="0" borderId="40"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10" fillId="9" borderId="36" xfId="0" applyFont="1" applyFill="1" applyBorder="1" applyAlignment="1">
      <alignment horizontal="left" vertical="center" wrapText="1"/>
    </xf>
    <xf numFmtId="164" fontId="15" fillId="0" borderId="1" xfId="0" applyNumberFormat="1" applyFont="1" applyBorder="1" applyAlignment="1">
      <alignment horizontal="right" vertical="center"/>
    </xf>
    <xf numFmtId="164" fontId="15" fillId="0" borderId="36" xfId="0" applyNumberFormat="1" applyFont="1" applyBorder="1" applyAlignment="1">
      <alignment horizontal="right" vertical="center"/>
    </xf>
    <xf numFmtId="164" fontId="4" fillId="0" borderId="5" xfId="0" applyNumberFormat="1" applyFont="1" applyBorder="1" applyAlignment="1">
      <alignment horizontal="center" vertical="center" wrapText="1"/>
    </xf>
    <xf numFmtId="164" fontId="4" fillId="0" borderId="8" xfId="0" applyNumberFormat="1" applyFont="1" applyBorder="1" applyAlignment="1">
      <alignment horizontal="center" vertical="center" wrapText="1"/>
    </xf>
    <xf numFmtId="164" fontId="4" fillId="0" borderId="9" xfId="0" applyNumberFormat="1"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6" fillId="0" borderId="14" xfId="0" applyFont="1" applyBorder="1" applyAlignment="1">
      <alignment horizontal="center" vertical="center" wrapText="1"/>
    </xf>
    <xf numFmtId="164" fontId="7" fillId="0" borderId="5" xfId="0" applyNumberFormat="1" applyFont="1" applyBorder="1" applyAlignment="1">
      <alignment horizontal="right" vertical="center"/>
    </xf>
    <xf numFmtId="164" fontId="7" fillId="0" borderId="9" xfId="0" applyNumberFormat="1" applyFont="1" applyBorder="1" applyAlignment="1">
      <alignment horizontal="right" vertical="center"/>
    </xf>
    <xf numFmtId="0" fontId="10" fillId="2" borderId="18" xfId="0" applyFont="1" applyFill="1" applyBorder="1" applyAlignment="1">
      <alignment horizontal="left" vertical="center" wrapText="1"/>
    </xf>
    <xf numFmtId="167" fontId="11" fillId="0" borderId="18" xfId="0" applyNumberFormat="1" applyFont="1" applyBorder="1" applyAlignment="1">
      <alignment horizontal="right" vertical="center"/>
    </xf>
    <xf numFmtId="0" fontId="0" fillId="0" borderId="2"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8" fillId="0" borderId="51" xfId="0" applyFont="1" applyBorder="1" applyAlignment="1">
      <alignment horizontal="left" vertical="center" wrapText="1"/>
    </xf>
    <xf numFmtId="164" fontId="12" fillId="0" borderId="32" xfId="0" applyNumberFormat="1" applyFont="1" applyBorder="1" applyAlignment="1">
      <alignment horizontal="center" vertical="center"/>
    </xf>
    <xf numFmtId="164" fontId="12" fillId="0" borderId="42" xfId="0" applyNumberFormat="1" applyFont="1" applyBorder="1" applyAlignment="1">
      <alignment horizontal="center" vertical="center"/>
    </xf>
    <xf numFmtId="0" fontId="9" fillId="0" borderId="28" xfId="0" applyFont="1" applyBorder="1" applyAlignment="1">
      <alignment horizontal="center" vertical="center"/>
    </xf>
    <xf numFmtId="0" fontId="10"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2" borderId="27" xfId="0" applyFont="1" applyFill="1" applyBorder="1" applyAlignment="1">
      <alignment horizontal="left" vertical="center" wrapText="1"/>
    </xf>
    <xf numFmtId="167" fontId="11" fillId="0" borderId="35" xfId="0" applyNumberFormat="1" applyFont="1" applyBorder="1" applyAlignment="1">
      <alignment horizontal="right" vertical="center"/>
    </xf>
    <xf numFmtId="167" fontId="11" fillId="0" borderId="38" xfId="0" applyNumberFormat="1" applyFont="1" applyBorder="1" applyAlignment="1">
      <alignment horizontal="right" vertical="center"/>
    </xf>
    <xf numFmtId="0" fontId="8" fillId="0" borderId="53" xfId="0" applyFont="1" applyBorder="1" applyAlignment="1">
      <alignment horizontal="left" vertical="center" wrapText="1"/>
    </xf>
    <xf numFmtId="0" fontId="8" fillId="0" borderId="36" xfId="0" applyFont="1" applyBorder="1" applyAlignment="1">
      <alignment horizontal="left" vertical="center" wrapText="1"/>
    </xf>
    <xf numFmtId="0" fontId="8" fillId="0" borderId="39" xfId="0" applyFont="1" applyBorder="1" applyAlignment="1">
      <alignment horizontal="left" vertical="center" wrapText="1"/>
    </xf>
    <xf numFmtId="0" fontId="10" fillId="9" borderId="18" xfId="0" applyFont="1" applyFill="1" applyBorder="1" applyAlignment="1">
      <alignment horizontal="left" vertical="center" wrapText="1"/>
    </xf>
    <xf numFmtId="164" fontId="11" fillId="0" borderId="1" xfId="0" applyNumberFormat="1" applyFont="1" applyBorder="1" applyAlignment="1">
      <alignment horizontal="right" vertical="center"/>
    </xf>
    <xf numFmtId="0" fontId="10" fillId="9" borderId="33" xfId="0" applyFont="1" applyFill="1" applyBorder="1" applyAlignment="1">
      <alignment horizontal="left" vertical="center" wrapText="1"/>
    </xf>
    <xf numFmtId="0" fontId="10" fillId="9" borderId="0" xfId="0" applyFont="1" applyFill="1" applyAlignment="1">
      <alignment horizontal="left" vertical="center" wrapText="1"/>
    </xf>
    <xf numFmtId="0" fontId="10" fillId="9" borderId="34" xfId="0" applyFont="1" applyFill="1" applyBorder="1" applyAlignment="1">
      <alignment horizontal="left" vertical="center" wrapText="1"/>
    </xf>
    <xf numFmtId="166" fontId="11" fillId="0" borderId="35" xfId="0" applyNumberFormat="1" applyFont="1" applyBorder="1" applyAlignment="1">
      <alignment horizontal="right" vertical="center"/>
    </xf>
    <xf numFmtId="166" fontId="11" fillId="0" borderId="38" xfId="0" applyNumberFormat="1" applyFont="1" applyBorder="1" applyAlignment="1">
      <alignment horizontal="right" vertical="center"/>
    </xf>
    <xf numFmtId="166" fontId="11" fillId="0" borderId="18" xfId="0" applyNumberFormat="1" applyFont="1" applyBorder="1" applyAlignment="1">
      <alignment horizontal="right" vertical="center"/>
    </xf>
    <xf numFmtId="0" fontId="10" fillId="8" borderId="29" xfId="0" applyFont="1" applyFill="1" applyBorder="1" applyAlignment="1">
      <alignment horizontal="left" vertical="center" wrapText="1"/>
    </xf>
    <xf numFmtId="0" fontId="10" fillId="8" borderId="30" xfId="0" applyFont="1" applyFill="1" applyBorder="1" applyAlignment="1">
      <alignment horizontal="left" vertical="center" wrapText="1"/>
    </xf>
    <xf numFmtId="0" fontId="10" fillId="8" borderId="31" xfId="0" applyFont="1" applyFill="1" applyBorder="1" applyAlignment="1">
      <alignment horizontal="left" vertical="center" wrapText="1"/>
    </xf>
    <xf numFmtId="0" fontId="10" fillId="9" borderId="43" xfId="0" applyFont="1" applyFill="1" applyBorder="1" applyAlignment="1">
      <alignment horizontal="left" vertical="center" wrapText="1"/>
    </xf>
    <xf numFmtId="0" fontId="10" fillId="9" borderId="11" xfId="0" applyFont="1" applyFill="1" applyBorder="1" applyAlignment="1">
      <alignment horizontal="left" vertical="center" wrapText="1"/>
    </xf>
    <xf numFmtId="0" fontId="10" fillId="9" borderId="44" xfId="0" applyFont="1" applyFill="1" applyBorder="1" applyAlignment="1">
      <alignment horizontal="left" vertical="center" wrapText="1"/>
    </xf>
    <xf numFmtId="164" fontId="14" fillId="0" borderId="32" xfId="1" applyNumberFormat="1" applyFont="1" applyFill="1" applyBorder="1" applyAlignment="1">
      <alignment horizontal="center" vertical="center"/>
    </xf>
    <xf numFmtId="164" fontId="14" fillId="0" borderId="42" xfId="1" applyNumberFormat="1" applyFont="1" applyFill="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0" fontId="5" fillId="0" borderId="7" xfId="0" applyFont="1" applyBorder="1" applyAlignment="1">
      <alignment horizontal="center" vertical="center"/>
    </xf>
    <xf numFmtId="164" fontId="12" fillId="0" borderId="32" xfId="1" applyNumberFormat="1" applyFont="1" applyFill="1" applyBorder="1" applyAlignment="1">
      <alignment horizontal="right" vertical="center"/>
    </xf>
    <xf numFmtId="164" fontId="12" fillId="0" borderId="24" xfId="1" applyNumberFormat="1" applyFont="1" applyFill="1" applyBorder="1" applyAlignment="1">
      <alignment horizontal="right" vertical="center"/>
    </xf>
    <xf numFmtId="164" fontId="12" fillId="0" borderId="41" xfId="1" applyNumberFormat="1" applyFont="1" applyFill="1" applyBorder="1" applyAlignment="1">
      <alignment horizontal="right" vertical="center"/>
    </xf>
    <xf numFmtId="0" fontId="10" fillId="0" borderId="0" xfId="0" applyFont="1" applyAlignment="1">
      <alignment horizontal="center" vertical="center" wrapText="1"/>
    </xf>
    <xf numFmtId="0" fontId="27" fillId="0" borderId="6" xfId="0" applyFont="1" applyBorder="1" applyAlignment="1">
      <alignment horizontal="center" vertical="center"/>
    </xf>
    <xf numFmtId="0" fontId="27" fillId="0" borderId="0" xfId="0" applyFont="1" applyAlignment="1">
      <alignment horizontal="center" vertical="center"/>
    </xf>
    <xf numFmtId="0" fontId="27" fillId="0" borderId="7" xfId="0" applyFont="1" applyBorder="1" applyAlignment="1">
      <alignment horizontal="center" vertical="center"/>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33" xfId="0" applyFont="1" applyBorder="1" applyAlignment="1">
      <alignment horizontal="left" vertical="center" wrapText="1"/>
    </xf>
    <xf numFmtId="0" fontId="10" fillId="0" borderId="0" xfId="0" applyFont="1" applyAlignment="1">
      <alignment horizontal="left" vertical="center" wrapText="1"/>
    </xf>
    <xf numFmtId="0" fontId="10" fillId="0" borderId="34" xfId="0" applyFont="1" applyBorder="1" applyAlignment="1">
      <alignment horizontal="left" vertical="center" wrapText="1"/>
    </xf>
    <xf numFmtId="0" fontId="10" fillId="0" borderId="43" xfId="0" applyFont="1" applyBorder="1" applyAlignment="1">
      <alignment horizontal="left" vertical="center" wrapText="1"/>
    </xf>
    <xf numFmtId="0" fontId="10" fillId="0" borderId="11" xfId="0" applyFont="1" applyBorder="1" applyAlignment="1">
      <alignment horizontal="left" vertical="center" wrapText="1"/>
    </xf>
    <xf numFmtId="0" fontId="10" fillId="0" borderId="44" xfId="0" applyFont="1" applyBorder="1" applyAlignment="1">
      <alignment horizontal="left" vertical="center" wrapText="1"/>
    </xf>
    <xf numFmtId="0" fontId="9" fillId="0" borderId="48" xfId="0" applyFont="1" applyBorder="1" applyAlignment="1">
      <alignment horizontal="center" vertical="center"/>
    </xf>
    <xf numFmtId="164" fontId="11" fillId="0" borderId="35" xfId="0" applyNumberFormat="1" applyFont="1" applyBorder="1" applyAlignment="1">
      <alignment horizontal="center" vertical="center"/>
    </xf>
    <xf numFmtId="164" fontId="11" fillId="0" borderId="38" xfId="0" applyNumberFormat="1" applyFont="1" applyBorder="1" applyAlignment="1">
      <alignment horizontal="center" vertical="center"/>
    </xf>
    <xf numFmtId="164" fontId="11" fillId="0" borderId="49" xfId="0" applyNumberFormat="1" applyFont="1" applyBorder="1" applyAlignment="1">
      <alignment horizontal="center" vertical="center"/>
    </xf>
    <xf numFmtId="49" fontId="17" fillId="0" borderId="33" xfId="2" applyFont="1" applyFill="1" applyBorder="1" applyAlignment="1" applyProtection="1">
      <alignment horizontal="left" vertical="center" wrapText="1"/>
      <protection locked="0"/>
    </xf>
    <xf numFmtId="49" fontId="17" fillId="0" borderId="0" xfId="2" applyFont="1" applyFill="1" applyBorder="1" applyAlignment="1" applyProtection="1">
      <alignment horizontal="left" vertical="center" wrapText="1"/>
      <protection locked="0"/>
    </xf>
    <xf numFmtId="49" fontId="17" fillId="0" borderId="34" xfId="2" applyFont="1" applyFill="1" applyBorder="1" applyAlignment="1" applyProtection="1">
      <alignment horizontal="left" vertical="center" wrapText="1"/>
      <protection locked="0"/>
    </xf>
    <xf numFmtId="49" fontId="17" fillId="0" borderId="25" xfId="2" applyFont="1" applyFill="1" applyBorder="1" applyAlignment="1" applyProtection="1">
      <alignment horizontal="left" vertical="center" wrapText="1"/>
      <protection locked="0"/>
    </xf>
    <xf numFmtId="49" fontId="17" fillId="0" borderId="26" xfId="2" applyFont="1" applyFill="1" applyBorder="1" applyAlignment="1" applyProtection="1">
      <alignment horizontal="left" vertical="center" wrapText="1"/>
      <protection locked="0"/>
    </xf>
    <xf numFmtId="49" fontId="17" fillId="0" borderId="27" xfId="2" applyFont="1" applyFill="1" applyBorder="1" applyAlignment="1" applyProtection="1">
      <alignment horizontal="left" vertical="center" wrapText="1"/>
      <protection locked="0"/>
    </xf>
    <xf numFmtId="167" fontId="11" fillId="0" borderId="38" xfId="0" applyNumberFormat="1" applyFont="1" applyBorder="1" applyAlignment="1">
      <alignment horizontal="center" vertical="center"/>
    </xf>
    <xf numFmtId="167" fontId="11" fillId="0" borderId="18" xfId="0" applyNumberFormat="1" applyFont="1" applyBorder="1" applyAlignment="1">
      <alignment horizontal="center" vertical="center"/>
    </xf>
    <xf numFmtId="49" fontId="17" fillId="0" borderId="29" xfId="2" applyFont="1" applyFill="1" applyBorder="1" applyAlignment="1" applyProtection="1">
      <alignment horizontal="left" vertical="center" wrapText="1"/>
      <protection locked="0"/>
    </xf>
    <xf numFmtId="49" fontId="17" fillId="0" borderId="30" xfId="2" applyFont="1" applyFill="1" applyBorder="1" applyAlignment="1" applyProtection="1">
      <alignment horizontal="left" vertical="center" wrapText="1"/>
      <protection locked="0"/>
    </xf>
    <xf numFmtId="49" fontId="17" fillId="0" borderId="31" xfId="2" applyFont="1" applyFill="1" applyBorder="1" applyAlignment="1" applyProtection="1">
      <alignment horizontal="left" vertical="center" wrapText="1"/>
      <protection locked="0"/>
    </xf>
    <xf numFmtId="0" fontId="10" fillId="0" borderId="29"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31" xfId="0" applyFont="1" applyFill="1" applyBorder="1" applyAlignment="1">
      <alignment horizontal="left" vertical="center" wrapText="1"/>
    </xf>
    <xf numFmtId="164" fontId="7" fillId="0" borderId="5" xfId="0" applyNumberFormat="1" applyFont="1" applyFill="1" applyBorder="1" applyAlignment="1">
      <alignment horizontal="center" vertical="center"/>
    </xf>
    <xf numFmtId="164" fontId="7" fillId="0" borderId="9" xfId="0" applyNumberFormat="1" applyFont="1" applyFill="1" applyBorder="1" applyAlignment="1">
      <alignment horizontal="center" vertical="center"/>
    </xf>
    <xf numFmtId="0" fontId="9" fillId="0" borderId="20" xfId="0" applyFont="1" applyFill="1" applyBorder="1" applyAlignment="1">
      <alignment horizontal="center" vertical="center"/>
    </xf>
    <xf numFmtId="0" fontId="9" fillId="0" borderId="17" xfId="0" applyFont="1" applyFill="1" applyBorder="1" applyAlignment="1">
      <alignment horizontal="center" vertical="center"/>
    </xf>
    <xf numFmtId="164" fontId="11" fillId="0" borderId="21" xfId="0" applyNumberFormat="1" applyFont="1" applyFill="1" applyBorder="1" applyAlignment="1">
      <alignment horizontal="right" vertical="center"/>
    </xf>
    <xf numFmtId="164" fontId="11" fillId="0" borderId="25" xfId="0" applyNumberFormat="1" applyFont="1" applyFill="1" applyBorder="1" applyAlignment="1">
      <alignment horizontal="right" vertical="center"/>
    </xf>
    <xf numFmtId="0" fontId="19" fillId="0" borderId="6" xfId="0" applyFont="1" applyFill="1" applyBorder="1" applyAlignment="1">
      <alignment horizontal="center" vertical="center"/>
    </xf>
    <xf numFmtId="0" fontId="19" fillId="0" borderId="0" xfId="0" applyFont="1" applyFill="1" applyBorder="1" applyAlignment="1">
      <alignment horizontal="center" vertical="center"/>
    </xf>
    <xf numFmtId="164" fontId="7" fillId="0" borderId="8" xfId="0" applyNumberFormat="1" applyFont="1" applyFill="1" applyBorder="1" applyAlignment="1">
      <alignment horizontal="right" vertical="center"/>
    </xf>
    <xf numFmtId="164" fontId="7" fillId="0" borderId="9"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10" fillId="0" borderId="21"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10" fillId="0" borderId="25"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27" xfId="0" applyFont="1" applyFill="1" applyBorder="1" applyAlignment="1">
      <alignment horizontal="left" vertical="center" wrapText="1"/>
    </xf>
    <xf numFmtId="0" fontId="10" fillId="0" borderId="1" xfId="0" applyFont="1" applyFill="1" applyBorder="1" applyAlignment="1">
      <alignment horizontal="left" vertical="center" wrapText="1"/>
    </xf>
    <xf numFmtId="164" fontId="14" fillId="0" borderId="5" xfId="1" applyNumberFormat="1" applyFont="1" applyFill="1" applyBorder="1" applyAlignment="1">
      <alignment horizontal="center" vertical="center"/>
    </xf>
    <xf numFmtId="164" fontId="14" fillId="0" borderId="8" xfId="1" applyNumberFormat="1" applyFont="1" applyFill="1" applyBorder="1" applyAlignment="1">
      <alignment horizontal="center" vertical="center"/>
    </xf>
    <xf numFmtId="0" fontId="8" fillId="0" borderId="49"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10" fillId="0" borderId="54" xfId="0" applyFont="1" applyFill="1" applyBorder="1" applyAlignment="1">
      <alignment horizontal="left" vertical="center" wrapText="1"/>
    </xf>
    <xf numFmtId="0" fontId="5" fillId="0" borderId="0" xfId="0" applyFont="1" applyFill="1" applyBorder="1" applyAlignment="1">
      <alignment horizontal="center" vertical="center"/>
    </xf>
    <xf numFmtId="0" fontId="5" fillId="0" borderId="7" xfId="0" applyFont="1" applyFill="1" applyBorder="1" applyAlignment="1">
      <alignment horizontal="center" vertical="center"/>
    </xf>
    <xf numFmtId="0" fontId="8" fillId="0" borderId="51" xfId="0" applyFont="1" applyFill="1" applyBorder="1" applyAlignment="1">
      <alignment horizontal="left" vertical="center" wrapText="1"/>
    </xf>
    <xf numFmtId="0" fontId="8" fillId="0" borderId="53" xfId="0" applyFont="1" applyFill="1" applyBorder="1" applyAlignment="1">
      <alignment horizontal="left" vertical="center" wrapText="1"/>
    </xf>
    <xf numFmtId="164" fontId="12" fillId="0" borderId="55" xfId="1" applyNumberFormat="1" applyFont="1" applyFill="1" applyBorder="1" applyAlignment="1">
      <alignment horizontal="right" vertical="center"/>
    </xf>
    <xf numFmtId="167" fontId="5" fillId="0" borderId="0" xfId="0" applyNumberFormat="1" applyFont="1" applyFill="1" applyBorder="1" applyAlignment="1">
      <alignment horizontal="center" vertical="center"/>
    </xf>
    <xf numFmtId="0" fontId="10" fillId="0" borderId="39"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57" xfId="0" applyFont="1" applyFill="1" applyBorder="1" applyAlignment="1">
      <alignment horizontal="left" vertical="center" wrapText="1"/>
    </xf>
    <xf numFmtId="167" fontId="11" fillId="0" borderId="35" xfId="0" applyNumberFormat="1" applyFont="1" applyFill="1" applyBorder="1" applyAlignment="1">
      <alignment horizontal="right" vertical="center"/>
    </xf>
    <xf numFmtId="167" fontId="11" fillId="0" borderId="18" xfId="0" applyNumberFormat="1" applyFont="1" applyFill="1" applyBorder="1" applyAlignment="1">
      <alignment horizontal="right" vertical="center"/>
    </xf>
    <xf numFmtId="49" fontId="17" fillId="0" borderId="21" xfId="2" applyFont="1" applyFill="1" applyBorder="1" applyAlignment="1" applyProtection="1">
      <alignment horizontal="left" vertical="center" wrapText="1"/>
      <protection locked="0"/>
    </xf>
    <xf numFmtId="49" fontId="17" fillId="0" borderId="22" xfId="2" applyFont="1" applyFill="1" applyBorder="1" applyAlignment="1" applyProtection="1">
      <alignment horizontal="left" vertical="center" wrapText="1"/>
      <protection locked="0"/>
    </xf>
    <xf numFmtId="49" fontId="17" fillId="0" borderId="23" xfId="2" applyFont="1" applyFill="1" applyBorder="1" applyAlignment="1" applyProtection="1">
      <alignment horizontal="left" vertical="center" wrapText="1"/>
      <protection locked="0"/>
    </xf>
    <xf numFmtId="0" fontId="10" fillId="0" borderId="0" xfId="0" applyFont="1" applyFill="1" applyBorder="1" applyAlignment="1">
      <alignment horizontal="center" vertical="center" wrapText="1"/>
    </xf>
    <xf numFmtId="0" fontId="9" fillId="0" borderId="58" xfId="0" applyFont="1" applyFill="1" applyBorder="1" applyAlignment="1">
      <alignment horizontal="center" vertical="center"/>
    </xf>
    <xf numFmtId="0" fontId="10" fillId="0" borderId="59"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60" xfId="0" applyFont="1" applyFill="1" applyBorder="1" applyAlignment="1">
      <alignment horizontal="left" vertical="center" wrapText="1"/>
    </xf>
    <xf numFmtId="164" fontId="11" fillId="0" borderId="61" xfId="0" applyNumberFormat="1" applyFont="1" applyFill="1" applyBorder="1" applyAlignment="1">
      <alignment horizontal="right" vertical="center"/>
    </xf>
    <xf numFmtId="164" fontId="11" fillId="0" borderId="18" xfId="0" applyNumberFormat="1" applyFont="1" applyFill="1" applyBorder="1" applyAlignment="1">
      <alignment horizontal="right" vertical="center"/>
    </xf>
    <xf numFmtId="0" fontId="9" fillId="0" borderId="19" xfId="0" applyFont="1" applyFill="1" applyBorder="1" applyAlignment="1">
      <alignment horizontal="center" vertical="center"/>
    </xf>
    <xf numFmtId="164" fontId="15" fillId="0" borderId="1" xfId="0" applyNumberFormat="1" applyFont="1" applyFill="1" applyBorder="1" applyAlignment="1">
      <alignment horizontal="right" vertical="center"/>
    </xf>
    <xf numFmtId="0" fontId="10" fillId="0" borderId="35" xfId="0" applyFont="1" applyFill="1" applyBorder="1" applyAlignment="1">
      <alignment horizontal="left" vertical="center" wrapText="1"/>
    </xf>
    <xf numFmtId="0" fontId="7" fillId="0" borderId="1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8" fillId="0" borderId="15"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10" fillId="0" borderId="18"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0" fillId="0" borderId="2" xfId="0" applyFill="1" applyBorder="1" applyAlignment="1">
      <alignment horizontal="center"/>
    </xf>
    <xf numFmtId="0" fontId="0" fillId="0" borderId="3" xfId="0" applyFill="1" applyBorder="1" applyAlignment="1">
      <alignment horizontal="center"/>
    </xf>
    <xf numFmtId="0" fontId="0" fillId="0" borderId="6" xfId="0"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164" fontId="4" fillId="0" borderId="5" xfId="0" applyNumberFormat="1" applyFont="1" applyFill="1" applyBorder="1" applyAlignment="1">
      <alignment horizontal="center" vertical="center" wrapText="1"/>
    </xf>
    <xf numFmtId="164" fontId="4" fillId="0" borderId="8" xfId="0" applyNumberFormat="1" applyFont="1" applyFill="1" applyBorder="1" applyAlignment="1">
      <alignment horizontal="center" vertical="center" wrapText="1"/>
    </xf>
    <xf numFmtId="164" fontId="4" fillId="0" borderId="9"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4" xfId="0" applyFont="1" applyFill="1" applyBorder="1" applyAlignment="1">
      <alignment horizontal="center" vertical="center" wrapText="1"/>
    </xf>
    <xf numFmtId="164" fontId="7" fillId="0" borderId="5" xfId="0" applyNumberFormat="1" applyFont="1" applyFill="1" applyBorder="1" applyAlignment="1">
      <alignment horizontal="right" vertical="center"/>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11" xfId="0" applyFont="1" applyFill="1" applyBorder="1" applyAlignment="1">
      <alignment horizontal="left" vertical="center" wrapText="1"/>
    </xf>
    <xf numFmtId="164" fontId="12" fillId="0" borderId="37" xfId="0" applyNumberFormat="1" applyFont="1" applyFill="1" applyBorder="1" applyAlignment="1">
      <alignment horizontal="center" vertical="center"/>
    </xf>
    <xf numFmtId="164" fontId="12" fillId="0" borderId="32" xfId="0" applyNumberFormat="1" applyFont="1" applyFill="1" applyBorder="1" applyAlignment="1">
      <alignment horizontal="center" vertical="center"/>
    </xf>
    <xf numFmtId="164" fontId="12" fillId="0" borderId="42" xfId="0" applyNumberFormat="1" applyFont="1" applyFill="1" applyBorder="1" applyAlignment="1">
      <alignment horizontal="center" vertical="center"/>
    </xf>
    <xf numFmtId="164" fontId="14" fillId="0" borderId="4" xfId="0" applyNumberFormat="1" applyFont="1" applyFill="1" applyBorder="1" applyAlignment="1">
      <alignment horizontal="center" vertical="center"/>
    </xf>
    <xf numFmtId="164" fontId="14" fillId="0" borderId="7" xfId="0" applyNumberFormat="1" applyFont="1" applyFill="1" applyBorder="1" applyAlignment="1">
      <alignment horizontal="center" vertical="center"/>
    </xf>
    <xf numFmtId="164" fontId="14" fillId="0" borderId="12"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0" fillId="8" borderId="32" xfId="0" applyFill="1" applyBorder="1" applyAlignment="1">
      <alignment horizontal="left" vertical="center" wrapText="1"/>
    </xf>
    <xf numFmtId="0" fontId="0" fillId="2" borderId="32" xfId="0" applyFill="1" applyBorder="1" applyAlignment="1">
      <alignment horizontal="left" vertical="center" wrapText="1"/>
    </xf>
    <xf numFmtId="0" fontId="28" fillId="0" borderId="1" xfId="0" applyFont="1" applyBorder="1" applyAlignment="1">
      <alignment horizontal="center"/>
    </xf>
    <xf numFmtId="0" fontId="2" fillId="0" borderId="1" xfId="0" applyFont="1" applyBorder="1" applyAlignment="1">
      <alignment horizontal="center" vertical="center"/>
    </xf>
    <xf numFmtId="0" fontId="2" fillId="0" borderId="1" xfId="0" applyFont="1" applyBorder="1" applyAlignment="1">
      <alignment horizontal="center"/>
    </xf>
    <xf numFmtId="0" fontId="0" fillId="0" borderId="26" xfId="0" applyBorder="1" applyAlignment="1">
      <alignment horizontal="center"/>
    </xf>
    <xf numFmtId="0" fontId="29" fillId="0" borderId="1" xfId="0" applyFont="1" applyBorder="1" applyAlignment="1">
      <alignment horizontal="center"/>
    </xf>
    <xf numFmtId="49" fontId="2" fillId="2" borderId="1" xfId="0" applyNumberFormat="1" applyFont="1" applyFill="1" applyBorder="1" applyAlignment="1">
      <alignment horizontal="center" vertical="center"/>
    </xf>
  </cellXfs>
  <cellStyles count="5">
    <cellStyle name="BodyStyle" xfId="2" xr:uid="{99688BC0-DEC0-4A40-84D7-FC1657B91785}"/>
    <cellStyle name="Millares" xfId="3" builtinId="3"/>
    <cellStyle name="Moneda 2" xfId="1" xr:uid="{04CE7A1D-43B2-479B-8C00-1E345F0D1576}"/>
    <cellStyle name="Normal" xfId="0" builtinId="0"/>
    <cellStyle name="Porcentaje" xfId="4" builtinId="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269921</xdr:colOff>
      <xdr:row>0</xdr:row>
      <xdr:rowOff>93498</xdr:rowOff>
    </xdr:from>
    <xdr:to>
      <xdr:col>1</xdr:col>
      <xdr:colOff>871257</xdr:colOff>
      <xdr:row>5</xdr:row>
      <xdr:rowOff>108289</xdr:rowOff>
    </xdr:to>
    <xdr:pic>
      <xdr:nvPicPr>
        <xdr:cNvPr id="2" name="1 Imagen">
          <a:extLst>
            <a:ext uri="{FF2B5EF4-FFF2-40B4-BE49-F238E27FC236}">
              <a16:creationId xmlns:a16="http://schemas.microsoft.com/office/drawing/2014/main" id="{48A15D86-E927-4A22-8F03-E1CF4B2AC6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7" t="14811" r="2540" b="4359"/>
        <a:stretch/>
      </xdr:blipFill>
      <xdr:spPr>
        <a:xfrm>
          <a:off x="269921" y="93498"/>
          <a:ext cx="1363336" cy="9672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269921</xdr:colOff>
      <xdr:row>0</xdr:row>
      <xdr:rowOff>93498</xdr:rowOff>
    </xdr:from>
    <xdr:to>
      <xdr:col>1</xdr:col>
      <xdr:colOff>868082</xdr:colOff>
      <xdr:row>5</xdr:row>
      <xdr:rowOff>105114</xdr:rowOff>
    </xdr:to>
    <xdr:pic>
      <xdr:nvPicPr>
        <xdr:cNvPr id="2" name="1 Imagen">
          <a:extLst>
            <a:ext uri="{FF2B5EF4-FFF2-40B4-BE49-F238E27FC236}">
              <a16:creationId xmlns:a16="http://schemas.microsoft.com/office/drawing/2014/main" id="{35CF9AF0-60F8-4FB4-BC5D-8A56695623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07" t="14811" r="2540" b="4359"/>
        <a:stretch/>
      </xdr:blipFill>
      <xdr:spPr>
        <a:xfrm>
          <a:off x="269921" y="93498"/>
          <a:ext cx="1363336" cy="9768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649110</xdr:colOff>
      <xdr:row>0</xdr:row>
      <xdr:rowOff>82550</xdr:rowOff>
    </xdr:from>
    <xdr:to>
      <xdr:col>9</xdr:col>
      <xdr:colOff>43738</xdr:colOff>
      <xdr:row>14</xdr:row>
      <xdr:rowOff>22099</xdr:rowOff>
    </xdr:to>
    <xdr:pic>
      <xdr:nvPicPr>
        <xdr:cNvPr id="2" name="Imagen 1">
          <a:extLst>
            <a:ext uri="{FF2B5EF4-FFF2-40B4-BE49-F238E27FC236}">
              <a16:creationId xmlns:a16="http://schemas.microsoft.com/office/drawing/2014/main" id="{139C9FEF-26DD-A414-71FB-B8E7BAA24CF7}"/>
            </a:ext>
          </a:extLst>
        </xdr:cNvPr>
        <xdr:cNvPicPr>
          <a:picLocks noChangeAspect="1"/>
        </xdr:cNvPicPr>
      </xdr:nvPicPr>
      <xdr:blipFill>
        <a:blip xmlns:r="http://schemas.openxmlformats.org/officeDocument/2006/relationships" r:embed="rId1"/>
        <a:stretch>
          <a:fillRect/>
        </a:stretch>
      </xdr:blipFill>
      <xdr:spPr>
        <a:xfrm>
          <a:off x="649110" y="82550"/>
          <a:ext cx="13514911" cy="25077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417714</xdr:colOff>
      <xdr:row>21</xdr:row>
      <xdr:rowOff>85231</xdr:rowOff>
    </xdr:to>
    <xdr:pic>
      <xdr:nvPicPr>
        <xdr:cNvPr id="2" name="Imagen 1">
          <a:extLst>
            <a:ext uri="{FF2B5EF4-FFF2-40B4-BE49-F238E27FC236}">
              <a16:creationId xmlns:a16="http://schemas.microsoft.com/office/drawing/2014/main" id="{376C122F-C5E4-CE2D-DF71-EE6374B6A40E}"/>
            </a:ext>
          </a:extLst>
        </xdr:cNvPr>
        <xdr:cNvPicPr>
          <a:picLocks noChangeAspect="1"/>
        </xdr:cNvPicPr>
      </xdr:nvPicPr>
      <xdr:blipFill>
        <a:blip xmlns:r="http://schemas.openxmlformats.org/officeDocument/2006/relationships" r:embed="rId1"/>
        <a:stretch>
          <a:fillRect/>
        </a:stretch>
      </xdr:blipFill>
      <xdr:spPr>
        <a:xfrm>
          <a:off x="762000" y="0"/>
          <a:ext cx="11085714" cy="3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6350</xdr:rowOff>
    </xdr:from>
    <xdr:to>
      <xdr:col>17</xdr:col>
      <xdr:colOff>322190</xdr:colOff>
      <xdr:row>13</xdr:row>
      <xdr:rowOff>148931</xdr:rowOff>
    </xdr:to>
    <xdr:pic>
      <xdr:nvPicPr>
        <xdr:cNvPr id="2" name="Imagen 1">
          <a:extLst>
            <a:ext uri="{FF2B5EF4-FFF2-40B4-BE49-F238E27FC236}">
              <a16:creationId xmlns:a16="http://schemas.microsoft.com/office/drawing/2014/main" id="{24EF933F-3650-08CF-5CC0-D5FAF0D4649C}"/>
            </a:ext>
          </a:extLst>
        </xdr:cNvPr>
        <xdr:cNvPicPr>
          <a:picLocks noChangeAspect="1"/>
        </xdr:cNvPicPr>
      </xdr:nvPicPr>
      <xdr:blipFill>
        <a:blip xmlns:r="http://schemas.openxmlformats.org/officeDocument/2006/relationships" r:embed="rId1"/>
        <a:stretch>
          <a:fillRect/>
        </a:stretch>
      </xdr:blipFill>
      <xdr:spPr>
        <a:xfrm>
          <a:off x="0" y="190500"/>
          <a:ext cx="13276190" cy="235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17</xdr:row>
      <xdr:rowOff>118681</xdr:rowOff>
    </xdr:from>
    <xdr:to>
      <xdr:col>9</xdr:col>
      <xdr:colOff>507329</xdr:colOff>
      <xdr:row>38</xdr:row>
      <xdr:rowOff>17089</xdr:rowOff>
    </xdr:to>
    <xdr:pic>
      <xdr:nvPicPr>
        <xdr:cNvPr id="2" name="Imagen 1">
          <a:extLst>
            <a:ext uri="{FF2B5EF4-FFF2-40B4-BE49-F238E27FC236}">
              <a16:creationId xmlns:a16="http://schemas.microsoft.com/office/drawing/2014/main" id="{5AFAA31E-752C-45F0-AE4A-FC91697A0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4681"/>
          <a:ext cx="13035505" cy="3898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571500</xdr:colOff>
      <xdr:row>7</xdr:row>
      <xdr:rowOff>152400</xdr:rowOff>
    </xdr:from>
    <xdr:to>
      <xdr:col>3</xdr:col>
      <xdr:colOff>475674</xdr:colOff>
      <xdr:row>15</xdr:row>
      <xdr:rowOff>47448</xdr:rowOff>
    </xdr:to>
    <xdr:pic>
      <xdr:nvPicPr>
        <xdr:cNvPr id="2" name="Imagen 1">
          <a:extLst>
            <a:ext uri="{FF2B5EF4-FFF2-40B4-BE49-F238E27FC236}">
              <a16:creationId xmlns:a16="http://schemas.microsoft.com/office/drawing/2014/main" id="{3DC85DFA-1ECD-40C9-A676-B4F65DEA7885}"/>
            </a:ext>
          </a:extLst>
        </xdr:cNvPr>
        <xdr:cNvPicPr>
          <a:picLocks noChangeAspect="1"/>
        </xdr:cNvPicPr>
      </xdr:nvPicPr>
      <xdr:blipFill>
        <a:blip xmlns:r="http://schemas.openxmlformats.org/officeDocument/2006/relationships" r:embed="rId1"/>
        <a:stretch>
          <a:fillRect/>
        </a:stretch>
      </xdr:blipFill>
      <xdr:spPr>
        <a:xfrm>
          <a:off x="571500" y="1485900"/>
          <a:ext cx="4609524" cy="141904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020AF-8706-4BB5-A8B7-C59260B564FE}">
  <dimension ref="A1:I105"/>
  <sheetViews>
    <sheetView view="pageBreakPreview" topLeftCell="A78" zoomScale="90" zoomScaleNormal="100" zoomScaleSheetLayoutView="90" workbookViewId="0">
      <selection activeCell="B83" sqref="B83:E84"/>
    </sheetView>
  </sheetViews>
  <sheetFormatPr baseColWidth="10" defaultColWidth="10.77734375" defaultRowHeight="14.4" x14ac:dyDescent="0.3"/>
  <cols>
    <col min="2" max="2" width="18.5546875" customWidth="1"/>
    <col min="3" max="3" width="20.88671875" customWidth="1"/>
    <col min="4" max="4" width="14.5546875" customWidth="1"/>
    <col min="5" max="5" width="13.21875" customWidth="1"/>
    <col min="6" max="6" width="22.21875" customWidth="1"/>
    <col min="7" max="7" width="47.109375" customWidth="1"/>
    <col min="8" max="8" width="26.88671875" customWidth="1"/>
    <col min="9" max="9" width="28" bestFit="1" customWidth="1"/>
  </cols>
  <sheetData>
    <row r="1" spans="1:9" x14ac:dyDescent="0.3">
      <c r="A1" s="345"/>
      <c r="B1" s="346"/>
      <c r="C1" s="351" t="s">
        <v>171</v>
      </c>
      <c r="D1" s="351"/>
      <c r="E1" s="351"/>
      <c r="F1" s="351"/>
      <c r="G1" s="351"/>
      <c r="H1" s="352"/>
      <c r="I1" s="46" t="s">
        <v>19</v>
      </c>
    </row>
    <row r="2" spans="1:9" x14ac:dyDescent="0.3">
      <c r="A2" s="347"/>
      <c r="B2" s="348"/>
      <c r="C2" s="353"/>
      <c r="D2" s="353"/>
      <c r="E2" s="353"/>
      <c r="F2" s="353"/>
      <c r="G2" s="353"/>
      <c r="H2" s="354"/>
      <c r="I2" s="47" t="s">
        <v>20</v>
      </c>
    </row>
    <row r="3" spans="1:9" ht="15" thickBot="1" x14ac:dyDescent="0.35">
      <c r="A3" s="347"/>
      <c r="B3" s="348"/>
      <c r="C3" s="353"/>
      <c r="D3" s="353"/>
      <c r="E3" s="353"/>
      <c r="F3" s="353"/>
      <c r="G3" s="353"/>
      <c r="H3" s="354"/>
      <c r="I3" s="48" t="s">
        <v>21</v>
      </c>
    </row>
    <row r="4" spans="1:9" x14ac:dyDescent="0.3">
      <c r="A4" s="347"/>
      <c r="B4" s="348"/>
      <c r="C4" s="353"/>
      <c r="D4" s="353"/>
      <c r="E4" s="353"/>
      <c r="F4" s="353"/>
      <c r="G4" s="353"/>
      <c r="H4" s="354"/>
      <c r="I4" s="334">
        <f>+I10+I43+I60+I82</f>
        <v>29909829560.76857</v>
      </c>
    </row>
    <row r="5" spans="1:9" x14ac:dyDescent="0.3">
      <c r="A5" s="347"/>
      <c r="B5" s="348"/>
      <c r="C5" s="353"/>
      <c r="D5" s="353"/>
      <c r="E5" s="353"/>
      <c r="F5" s="353"/>
      <c r="G5" s="353"/>
      <c r="H5" s="354"/>
      <c r="I5" s="335"/>
    </row>
    <row r="6" spans="1:9" ht="15" thickBot="1" x14ac:dyDescent="0.35">
      <c r="A6" s="349"/>
      <c r="B6" s="350"/>
      <c r="C6" s="355"/>
      <c r="D6" s="355"/>
      <c r="E6" s="355"/>
      <c r="F6" s="355"/>
      <c r="G6" s="355"/>
      <c r="H6" s="356"/>
      <c r="I6" s="336"/>
    </row>
    <row r="7" spans="1:9" ht="30" customHeight="1" thickBot="1" x14ac:dyDescent="0.35">
      <c r="A7" s="75" t="s">
        <v>22</v>
      </c>
      <c r="B7" s="337" t="s">
        <v>102</v>
      </c>
      <c r="C7" s="338"/>
      <c r="D7" s="338"/>
      <c r="E7" s="339"/>
      <c r="F7" s="13" t="s">
        <v>113</v>
      </c>
      <c r="G7" s="14" t="s">
        <v>115</v>
      </c>
      <c r="H7" s="76" t="s">
        <v>114</v>
      </c>
      <c r="I7" s="77" t="s">
        <v>23</v>
      </c>
    </row>
    <row r="8" spans="1:9" ht="16.2" thickBot="1" x14ac:dyDescent="0.35">
      <c r="A8" s="268" t="s">
        <v>116</v>
      </c>
      <c r="B8" s="269"/>
      <c r="C8" s="269"/>
      <c r="D8" s="286"/>
      <c r="E8" s="286"/>
      <c r="F8" s="286"/>
      <c r="G8" s="286"/>
      <c r="H8" s="340"/>
      <c r="I8" s="341">
        <f>+I10</f>
        <v>15623244006.968573</v>
      </c>
    </row>
    <row r="9" spans="1:9" ht="19.8" thickBot="1" x14ac:dyDescent="0.35">
      <c r="A9" s="285" t="s">
        <v>24</v>
      </c>
      <c r="B9" s="286"/>
      <c r="C9" s="81">
        <v>44496</v>
      </c>
      <c r="D9" s="286" t="s">
        <v>25</v>
      </c>
      <c r="E9" s="286"/>
      <c r="F9" s="81">
        <v>44561</v>
      </c>
      <c r="G9" s="79" t="s">
        <v>26</v>
      </c>
      <c r="H9" s="82">
        <v>2021130010180</v>
      </c>
      <c r="I9" s="342"/>
    </row>
    <row r="10" spans="1:9" ht="39" customHeight="1" thickBot="1" x14ac:dyDescent="0.35">
      <c r="A10" s="83">
        <v>1</v>
      </c>
      <c r="B10" s="357" t="s">
        <v>27</v>
      </c>
      <c r="C10" s="357"/>
      <c r="D10" s="357"/>
      <c r="E10" s="357"/>
      <c r="F10" s="357"/>
      <c r="G10" s="357"/>
      <c r="H10" s="357"/>
      <c r="I10" s="84">
        <f>+I11</f>
        <v>15623244006.968573</v>
      </c>
    </row>
    <row r="11" spans="1:9" x14ac:dyDescent="0.3">
      <c r="A11" s="274" t="s">
        <v>28</v>
      </c>
      <c r="B11" s="343" t="s">
        <v>125</v>
      </c>
      <c r="C11" s="343"/>
      <c r="D11" s="343"/>
      <c r="E11" s="343"/>
      <c r="F11" s="49">
        <f>1550000000+66557269.428571-10000000</f>
        <v>1606557269.428571</v>
      </c>
      <c r="G11" s="86" t="s">
        <v>7</v>
      </c>
      <c r="H11" s="344">
        <f>+SUM(F11:F15)</f>
        <v>4546127190.266571</v>
      </c>
      <c r="I11" s="358">
        <f>SUM(H11:H40)</f>
        <v>15623244006.968573</v>
      </c>
    </row>
    <row r="12" spans="1:9" ht="27.6" x14ac:dyDescent="0.3">
      <c r="A12" s="303"/>
      <c r="B12" s="304"/>
      <c r="C12" s="304"/>
      <c r="D12" s="304"/>
      <c r="E12" s="304"/>
      <c r="F12" s="15">
        <v>45445282.633454598</v>
      </c>
      <c r="G12" s="38" t="s">
        <v>11</v>
      </c>
      <c r="H12" s="305"/>
      <c r="I12" s="358"/>
    </row>
    <row r="13" spans="1:9" ht="19.5" customHeight="1" x14ac:dyDescent="0.3">
      <c r="A13" s="303"/>
      <c r="B13" s="304"/>
      <c r="C13" s="304"/>
      <c r="D13" s="304"/>
      <c r="E13" s="304"/>
      <c r="F13" s="15">
        <f>367821105.854545-60000000</f>
        <v>307821105.854545</v>
      </c>
      <c r="G13" s="38" t="s">
        <v>8</v>
      </c>
      <c r="H13" s="305"/>
      <c r="I13" s="358"/>
    </row>
    <row r="14" spans="1:9" ht="31.5" customHeight="1" x14ac:dyDescent="0.3">
      <c r="A14" s="303"/>
      <c r="B14" s="304"/>
      <c r="C14" s="304"/>
      <c r="D14" s="304"/>
      <c r="E14" s="304"/>
      <c r="F14" s="39">
        <f>1500000000-693012187.44-320000000-F18</f>
        <v>189823840.83999991</v>
      </c>
      <c r="G14" s="38" t="s">
        <v>128</v>
      </c>
      <c r="H14" s="305"/>
      <c r="I14" s="358"/>
    </row>
    <row r="15" spans="1:9" ht="27.6" x14ac:dyDescent="0.3">
      <c r="A15" s="303"/>
      <c r="B15" s="304"/>
      <c r="C15" s="304"/>
      <c r="D15" s="304"/>
      <c r="E15" s="304"/>
      <c r="F15" s="40">
        <f>1000000000+(4359746080-2963266388.49)</f>
        <v>2396479691.5100002</v>
      </c>
      <c r="G15" s="38" t="s">
        <v>119</v>
      </c>
      <c r="H15" s="305"/>
      <c r="I15" s="358"/>
    </row>
    <row r="16" spans="1:9" ht="32.25" customHeight="1" x14ac:dyDescent="0.3">
      <c r="A16" s="87">
        <v>1.2</v>
      </c>
      <c r="B16" s="304" t="s">
        <v>29</v>
      </c>
      <c r="C16" s="304"/>
      <c r="D16" s="304"/>
      <c r="E16" s="304"/>
      <c r="F16" s="15">
        <v>300000000</v>
      </c>
      <c r="G16" s="38" t="s">
        <v>11</v>
      </c>
      <c r="H16" s="88">
        <f>+F16</f>
        <v>300000000</v>
      </c>
      <c r="I16" s="358"/>
    </row>
    <row r="17" spans="1:9" x14ac:dyDescent="0.3">
      <c r="A17" s="303" t="s">
        <v>30</v>
      </c>
      <c r="B17" s="304" t="s">
        <v>124</v>
      </c>
      <c r="C17" s="304"/>
      <c r="D17" s="304"/>
      <c r="E17" s="304"/>
      <c r="F17" s="15">
        <f>500000000+500000000</f>
        <v>1000000000</v>
      </c>
      <c r="G17" s="38" t="s">
        <v>7</v>
      </c>
      <c r="H17" s="305">
        <f>+SUM(F17:F19)</f>
        <v>4997163971.7200003</v>
      </c>
      <c r="I17" s="358"/>
    </row>
    <row r="18" spans="1:9" ht="21.75" customHeight="1" x14ac:dyDescent="0.3">
      <c r="A18" s="303"/>
      <c r="B18" s="304"/>
      <c r="C18" s="304"/>
      <c r="D18" s="304"/>
      <c r="E18" s="304"/>
      <c r="F18" s="15">
        <v>297163971.72000003</v>
      </c>
      <c r="G18" s="38" t="s">
        <v>128</v>
      </c>
      <c r="H18" s="305"/>
      <c r="I18" s="358"/>
    </row>
    <row r="19" spans="1:9" ht="33.75" customHeight="1" x14ac:dyDescent="0.3">
      <c r="A19" s="303"/>
      <c r="B19" s="304"/>
      <c r="C19" s="304"/>
      <c r="D19" s="304"/>
      <c r="E19" s="304"/>
      <c r="F19" s="40">
        <v>3700000000</v>
      </c>
      <c r="G19" s="38" t="s">
        <v>119</v>
      </c>
      <c r="H19" s="305"/>
      <c r="I19" s="358"/>
    </row>
    <row r="20" spans="1:9" s="89" customFormat="1" ht="27.6" x14ac:dyDescent="0.3">
      <c r="A20" s="303">
        <v>1.4</v>
      </c>
      <c r="B20" s="302" t="s">
        <v>147</v>
      </c>
      <c r="C20" s="302"/>
      <c r="D20" s="302"/>
      <c r="E20" s="302"/>
      <c r="F20" s="40">
        <v>500000000</v>
      </c>
      <c r="G20" s="38" t="s">
        <v>119</v>
      </c>
      <c r="H20" s="305">
        <f>+F20+F21</f>
        <v>750000000</v>
      </c>
      <c r="I20" s="358"/>
    </row>
    <row r="21" spans="1:9" s="89" customFormat="1" ht="42" customHeight="1" x14ac:dyDescent="0.3">
      <c r="A21" s="303"/>
      <c r="B21" s="302"/>
      <c r="C21" s="302"/>
      <c r="D21" s="302"/>
      <c r="E21" s="302"/>
      <c r="F21" s="40">
        <f>390000000-140000000</f>
        <v>250000000</v>
      </c>
      <c r="G21" s="38" t="s">
        <v>7</v>
      </c>
      <c r="H21" s="305"/>
      <c r="I21" s="358"/>
    </row>
    <row r="22" spans="1:9" ht="36" customHeight="1" x14ac:dyDescent="0.3">
      <c r="A22" s="303">
        <v>1.5</v>
      </c>
      <c r="B22" s="304" t="s">
        <v>148</v>
      </c>
      <c r="C22" s="304"/>
      <c r="D22" s="304"/>
      <c r="E22" s="304"/>
      <c r="F22" s="39">
        <v>900000000</v>
      </c>
      <c r="G22" s="38" t="s">
        <v>8</v>
      </c>
      <c r="H22" s="305">
        <f>+SUM(F22:F23)</f>
        <v>927450540</v>
      </c>
      <c r="I22" s="358"/>
    </row>
    <row r="23" spans="1:9" ht="36" customHeight="1" x14ac:dyDescent="0.3">
      <c r="A23" s="303"/>
      <c r="B23" s="304"/>
      <c r="C23" s="304"/>
      <c r="D23" s="304"/>
      <c r="E23" s="304"/>
      <c r="F23" s="40">
        <v>27450540</v>
      </c>
      <c r="G23" s="38" t="s">
        <v>119</v>
      </c>
      <c r="H23" s="305"/>
      <c r="I23" s="358"/>
    </row>
    <row r="24" spans="1:9" ht="30.75" customHeight="1" x14ac:dyDescent="0.3">
      <c r="A24" s="273">
        <v>1.6</v>
      </c>
      <c r="B24" s="361" t="s">
        <v>146</v>
      </c>
      <c r="C24" s="362"/>
      <c r="D24" s="362"/>
      <c r="E24" s="363"/>
      <c r="F24" s="39">
        <v>73467504.069999903</v>
      </c>
      <c r="G24" s="38" t="s">
        <v>7</v>
      </c>
      <c r="H24" s="370">
        <f>+SUM(F24:F26)</f>
        <v>1642549460</v>
      </c>
      <c r="I24" s="358"/>
    </row>
    <row r="25" spans="1:9" ht="30.75" customHeight="1" x14ac:dyDescent="0.3">
      <c r="A25" s="360"/>
      <c r="B25" s="364"/>
      <c r="C25" s="365"/>
      <c r="D25" s="365"/>
      <c r="E25" s="366"/>
      <c r="F25" s="39">
        <v>693012187.44000006</v>
      </c>
      <c r="G25" s="38" t="s">
        <v>128</v>
      </c>
      <c r="H25" s="371"/>
      <c r="I25" s="358"/>
    </row>
    <row r="26" spans="1:9" ht="30.75" customHeight="1" x14ac:dyDescent="0.3">
      <c r="A26" s="274"/>
      <c r="B26" s="367"/>
      <c r="C26" s="368"/>
      <c r="D26" s="368"/>
      <c r="E26" s="369"/>
      <c r="F26" s="40">
        <v>876069768.49000001</v>
      </c>
      <c r="G26" s="38" t="s">
        <v>119</v>
      </c>
      <c r="H26" s="344"/>
      <c r="I26" s="358"/>
    </row>
    <row r="27" spans="1:9" ht="42" customHeight="1" x14ac:dyDescent="0.3">
      <c r="A27" s="303">
        <v>1.7</v>
      </c>
      <c r="B27" s="302" t="s">
        <v>111</v>
      </c>
      <c r="C27" s="302"/>
      <c r="D27" s="302"/>
      <c r="E27" s="302"/>
      <c r="F27" s="39">
        <f>332354626-150000000+230000000-66557269.428571+10000000</f>
        <v>355797356.57142901</v>
      </c>
      <c r="G27" s="38" t="s">
        <v>7</v>
      </c>
      <c r="H27" s="305">
        <f>+SUM(F27:F29)</f>
        <v>505500000</v>
      </c>
      <c r="I27" s="358"/>
    </row>
    <row r="28" spans="1:9" ht="42" customHeight="1" x14ac:dyDescent="0.3">
      <c r="A28" s="303"/>
      <c r="B28" s="302"/>
      <c r="C28" s="302"/>
      <c r="D28" s="302"/>
      <c r="E28" s="302"/>
      <c r="F28" s="39">
        <v>60000000</v>
      </c>
      <c r="G28" s="38" t="s">
        <v>8</v>
      </c>
      <c r="H28" s="305"/>
      <c r="I28" s="358"/>
    </row>
    <row r="29" spans="1:9" ht="39.75" customHeight="1" x14ac:dyDescent="0.3">
      <c r="A29" s="303"/>
      <c r="B29" s="302"/>
      <c r="C29" s="302"/>
      <c r="D29" s="302"/>
      <c r="E29" s="302"/>
      <c r="F29" s="39">
        <f>104202643.428571-14500000</f>
        <v>89702643.428571001</v>
      </c>
      <c r="G29" s="38" t="s">
        <v>119</v>
      </c>
      <c r="H29" s="305"/>
      <c r="I29" s="358"/>
    </row>
    <row r="30" spans="1:9" ht="63.75" customHeight="1" x14ac:dyDescent="0.3">
      <c r="A30" s="87">
        <v>1.8</v>
      </c>
      <c r="B30" s="287" t="s">
        <v>149</v>
      </c>
      <c r="C30" s="288"/>
      <c r="D30" s="288"/>
      <c r="E30" s="289"/>
      <c r="F30" s="39">
        <v>14500000</v>
      </c>
      <c r="G30" s="38" t="s">
        <v>119</v>
      </c>
      <c r="H30" s="88">
        <f>+F30</f>
        <v>14500000</v>
      </c>
      <c r="I30" s="358"/>
    </row>
    <row r="31" spans="1:9" ht="33.75" customHeight="1" x14ac:dyDescent="0.3">
      <c r="A31" s="87">
        <v>1.9</v>
      </c>
      <c r="B31" s="302" t="s">
        <v>104</v>
      </c>
      <c r="C31" s="302"/>
      <c r="D31" s="302"/>
      <c r="E31" s="302"/>
      <c r="F31" s="39">
        <f>7170179/11*12*1.2</f>
        <v>9386416.1454545464</v>
      </c>
      <c r="G31" s="38" t="s">
        <v>8</v>
      </c>
      <c r="H31" s="88">
        <f>+SUM(F31:F31)</f>
        <v>9386416.1454545464</v>
      </c>
      <c r="I31" s="358"/>
    </row>
    <row r="32" spans="1:9" ht="35.25" customHeight="1" x14ac:dyDescent="0.3">
      <c r="A32" s="308">
        <v>1.1000000000000001</v>
      </c>
      <c r="B32" s="315" t="s">
        <v>142</v>
      </c>
      <c r="C32" s="316"/>
      <c r="D32" s="316"/>
      <c r="E32" s="317"/>
      <c r="F32" s="39">
        <v>1000000000</v>
      </c>
      <c r="G32" s="38" t="s">
        <v>8</v>
      </c>
      <c r="H32" s="305">
        <f>+SUM(F32:F36)</f>
        <v>1332688218.6600001</v>
      </c>
      <c r="I32" s="358"/>
    </row>
    <row r="33" spans="1:9" ht="29.25" customHeight="1" x14ac:dyDescent="0.3">
      <c r="A33" s="308"/>
      <c r="B33" s="318"/>
      <c r="C33" s="319"/>
      <c r="D33" s="319"/>
      <c r="E33" s="320"/>
      <c r="F33" s="39">
        <f>100705976.6-45445282.6334546</f>
        <v>55260693.966545396</v>
      </c>
      <c r="G33" s="38" t="s">
        <v>11</v>
      </c>
      <c r="H33" s="305"/>
      <c r="I33" s="358"/>
    </row>
    <row r="34" spans="1:9" x14ac:dyDescent="0.3">
      <c r="A34" s="308"/>
      <c r="B34" s="318"/>
      <c r="C34" s="319"/>
      <c r="D34" s="319"/>
      <c r="E34" s="320"/>
      <c r="F34" s="39">
        <f>140000000+28654285.7534547</f>
        <v>168654285.75345469</v>
      </c>
      <c r="G34" s="38" t="s">
        <v>7</v>
      </c>
      <c r="H34" s="305"/>
      <c r="I34" s="358"/>
    </row>
    <row r="35" spans="1:9" x14ac:dyDescent="0.3">
      <c r="A35" s="308"/>
      <c r="B35" s="318"/>
      <c r="C35" s="319"/>
      <c r="D35" s="319"/>
      <c r="E35" s="320"/>
      <c r="F35" s="39">
        <v>1427638</v>
      </c>
      <c r="G35" s="38" t="s">
        <v>127</v>
      </c>
      <c r="H35" s="305"/>
      <c r="I35" s="358"/>
    </row>
    <row r="36" spans="1:9" ht="27" customHeight="1" x14ac:dyDescent="0.3">
      <c r="A36" s="308"/>
      <c r="B36" s="321"/>
      <c r="C36" s="322"/>
      <c r="D36" s="322"/>
      <c r="E36" s="323"/>
      <c r="F36" s="39">
        <v>107345600.94</v>
      </c>
      <c r="G36" s="38" t="s">
        <v>119</v>
      </c>
      <c r="H36" s="305"/>
      <c r="I36" s="358"/>
    </row>
    <row r="37" spans="1:9" ht="88.5" customHeight="1" x14ac:dyDescent="0.3">
      <c r="A37" s="92">
        <v>1.1100000000000001</v>
      </c>
      <c r="B37" s="314" t="s">
        <v>167</v>
      </c>
      <c r="C37" s="314"/>
      <c r="D37" s="314"/>
      <c r="E37" s="314"/>
      <c r="F37" s="39">
        <v>5000000</v>
      </c>
      <c r="G37" s="38" t="s">
        <v>7</v>
      </c>
      <c r="H37" s="93">
        <f>+F37</f>
        <v>5000000</v>
      </c>
      <c r="I37" s="358"/>
    </row>
    <row r="38" spans="1:9" ht="81.75" customHeight="1" x14ac:dyDescent="0.3">
      <c r="A38" s="92">
        <v>1.1200000000000001</v>
      </c>
      <c r="B38" s="304" t="s">
        <v>168</v>
      </c>
      <c r="C38" s="304"/>
      <c r="D38" s="304"/>
      <c r="E38" s="304"/>
      <c r="F38" s="136">
        <v>150000000</v>
      </c>
      <c r="G38" s="38" t="s">
        <v>7</v>
      </c>
      <c r="H38" s="93">
        <f>+F38</f>
        <v>150000000</v>
      </c>
      <c r="I38" s="358"/>
    </row>
    <row r="39" spans="1:9" ht="41.25" customHeight="1" x14ac:dyDescent="0.3">
      <c r="A39" s="308">
        <v>1.1299999999999999</v>
      </c>
      <c r="B39" s="310" t="s">
        <v>169</v>
      </c>
      <c r="C39" s="310"/>
      <c r="D39" s="310"/>
      <c r="E39" s="310"/>
      <c r="F39" s="145">
        <v>320000000</v>
      </c>
      <c r="G39" s="38" t="s">
        <v>128</v>
      </c>
      <c r="H39" s="312">
        <f>+F39+F40</f>
        <v>442878210.17654532</v>
      </c>
      <c r="I39" s="358"/>
    </row>
    <row r="40" spans="1:9" ht="41.25" customHeight="1" thickBot="1" x14ac:dyDescent="0.35">
      <c r="A40" s="309"/>
      <c r="B40" s="311"/>
      <c r="C40" s="311"/>
      <c r="D40" s="311"/>
      <c r="E40" s="311"/>
      <c r="F40" s="146">
        <f>306532495.93-F38-28654285.7534547-50000000-5000000+50000000</f>
        <v>122878210.17654531</v>
      </c>
      <c r="G40" s="68" t="s">
        <v>7</v>
      </c>
      <c r="H40" s="313"/>
      <c r="I40" s="359"/>
    </row>
    <row r="41" spans="1:9" ht="19.8" thickBot="1" x14ac:dyDescent="0.35">
      <c r="A41" s="325" t="s">
        <v>31</v>
      </c>
      <c r="B41" s="326"/>
      <c r="C41" s="326"/>
      <c r="D41" s="271"/>
      <c r="E41" s="271"/>
      <c r="F41" s="271"/>
      <c r="G41" s="271"/>
      <c r="H41" s="272"/>
      <c r="I41" s="266">
        <f>+I43</f>
        <v>7248658667.3000002</v>
      </c>
    </row>
    <row r="42" spans="1:9" ht="27.75" customHeight="1" thickBot="1" x14ac:dyDescent="0.35">
      <c r="A42" s="285" t="s">
        <v>24</v>
      </c>
      <c r="B42" s="286"/>
      <c r="C42" s="81">
        <v>44497</v>
      </c>
      <c r="D42" s="285" t="s">
        <v>25</v>
      </c>
      <c r="E42" s="286"/>
      <c r="F42" s="81">
        <v>44561</v>
      </c>
      <c r="G42" s="79" t="s">
        <v>26</v>
      </c>
      <c r="H42" s="82">
        <v>2021130010192</v>
      </c>
      <c r="I42" s="284"/>
    </row>
    <row r="43" spans="1:9" ht="49.5" customHeight="1" thickBot="1" x14ac:dyDescent="0.35">
      <c r="A43" s="94">
        <v>2</v>
      </c>
      <c r="B43" s="327" t="s">
        <v>32</v>
      </c>
      <c r="C43" s="328"/>
      <c r="D43" s="329"/>
      <c r="E43" s="329"/>
      <c r="F43" s="329"/>
      <c r="G43" s="329"/>
      <c r="H43" s="330"/>
      <c r="I43" s="95">
        <f>+I44</f>
        <v>7248658667.3000002</v>
      </c>
    </row>
    <row r="44" spans="1:9" x14ac:dyDescent="0.3">
      <c r="A44" s="85" t="s">
        <v>33</v>
      </c>
      <c r="B44" s="281" t="s">
        <v>34</v>
      </c>
      <c r="C44" s="282"/>
      <c r="D44" s="282"/>
      <c r="E44" s="283"/>
      <c r="F44" s="96">
        <f>(252351415*1.1)-1919742.5</f>
        <v>275666814</v>
      </c>
      <c r="G44" s="86" t="s">
        <v>8</v>
      </c>
      <c r="H44" s="97">
        <f>+F44</f>
        <v>275666814</v>
      </c>
      <c r="I44" s="277">
        <f>+SUM(H44:H57)</f>
        <v>7248658667.3000002</v>
      </c>
    </row>
    <row r="45" spans="1:9" ht="28.5" customHeight="1" x14ac:dyDescent="0.3">
      <c r="A45" s="273" t="s">
        <v>35</v>
      </c>
      <c r="B45" s="290" t="s">
        <v>36</v>
      </c>
      <c r="C45" s="291"/>
      <c r="D45" s="291"/>
      <c r="E45" s="292"/>
      <c r="F45" s="41">
        <v>35000000</v>
      </c>
      <c r="G45" s="86" t="s">
        <v>8</v>
      </c>
      <c r="H45" s="306">
        <f>+F45+F46</f>
        <v>60000000</v>
      </c>
      <c r="I45" s="278"/>
    </row>
    <row r="46" spans="1:9" ht="27.6" x14ac:dyDescent="0.3">
      <c r="A46" s="274"/>
      <c r="B46" s="293"/>
      <c r="C46" s="294"/>
      <c r="D46" s="294"/>
      <c r="E46" s="295"/>
      <c r="F46" s="41">
        <v>25000000</v>
      </c>
      <c r="G46" s="86" t="s">
        <v>119</v>
      </c>
      <c r="H46" s="307"/>
      <c r="I46" s="278"/>
    </row>
    <row r="47" spans="1:9" x14ac:dyDescent="0.3">
      <c r="A47" s="90" t="s">
        <v>103</v>
      </c>
      <c r="B47" s="287" t="s">
        <v>38</v>
      </c>
      <c r="C47" s="288"/>
      <c r="D47" s="288"/>
      <c r="E47" s="289"/>
      <c r="F47" s="41">
        <f>(228534326*1.1)+30000000-20428595.6</f>
        <v>260959163.00000003</v>
      </c>
      <c r="G47" s="86" t="s">
        <v>8</v>
      </c>
      <c r="H47" s="97">
        <f>+F47</f>
        <v>260959163.00000003</v>
      </c>
      <c r="I47" s="278"/>
    </row>
    <row r="48" spans="1:9" ht="44.25" customHeight="1" x14ac:dyDescent="0.3">
      <c r="A48" s="87" t="s">
        <v>37</v>
      </c>
      <c r="B48" s="287" t="s">
        <v>40</v>
      </c>
      <c r="C48" s="288"/>
      <c r="D48" s="288"/>
      <c r="E48" s="289"/>
      <c r="F48" s="41">
        <f>30996888*1.1</f>
        <v>34096576.800000004</v>
      </c>
      <c r="G48" s="38" t="s">
        <v>8</v>
      </c>
      <c r="H48" s="97">
        <f t="shared" ref="H48" si="0">+F48</f>
        <v>34096576.800000004</v>
      </c>
      <c r="I48" s="278"/>
    </row>
    <row r="49" spans="1:9" ht="36" customHeight="1" x14ac:dyDescent="0.3">
      <c r="A49" s="273" t="s">
        <v>39</v>
      </c>
      <c r="B49" s="290" t="s">
        <v>123</v>
      </c>
      <c r="C49" s="291"/>
      <c r="D49" s="291"/>
      <c r="E49" s="292"/>
      <c r="F49" s="41">
        <v>2431021428</v>
      </c>
      <c r="G49" s="38" t="s">
        <v>7</v>
      </c>
      <c r="H49" s="275">
        <f>+SUM(F49:F50)</f>
        <v>3475881643</v>
      </c>
      <c r="I49" s="278"/>
    </row>
    <row r="50" spans="1:9" ht="36" customHeight="1" x14ac:dyDescent="0.3">
      <c r="A50" s="274"/>
      <c r="B50" s="293"/>
      <c r="C50" s="294"/>
      <c r="D50" s="294"/>
      <c r="E50" s="295"/>
      <c r="F50" s="98">
        <f>1814628129.9-769767914.9+161046392.4-161046392.4</f>
        <v>1044860215.0000001</v>
      </c>
      <c r="G50" s="38" t="s">
        <v>119</v>
      </c>
      <c r="H50" s="276"/>
      <c r="I50" s="278"/>
    </row>
    <row r="51" spans="1:9" ht="58.5" customHeight="1" x14ac:dyDescent="0.3">
      <c r="A51" s="90">
        <v>2.6</v>
      </c>
      <c r="B51" s="290" t="s">
        <v>41</v>
      </c>
      <c r="C51" s="291"/>
      <c r="D51" s="291"/>
      <c r="E51" s="292"/>
      <c r="F51" s="98">
        <v>125806674</v>
      </c>
      <c r="G51" s="50" t="s">
        <v>11</v>
      </c>
      <c r="H51" s="99">
        <f>SUM(F51:F51)</f>
        <v>125806674</v>
      </c>
      <c r="I51" s="278"/>
    </row>
    <row r="52" spans="1:9" ht="92.25" customHeight="1" x14ac:dyDescent="0.3">
      <c r="A52" s="90">
        <v>2.7</v>
      </c>
      <c r="B52" s="296" t="s">
        <v>143</v>
      </c>
      <c r="C52" s="297"/>
      <c r="D52" s="297"/>
      <c r="E52" s="298"/>
      <c r="F52" s="40">
        <v>65535000</v>
      </c>
      <c r="G52" s="36" t="s">
        <v>11</v>
      </c>
      <c r="H52" s="100">
        <f>F52</f>
        <v>65535000</v>
      </c>
      <c r="I52" s="279"/>
    </row>
    <row r="53" spans="1:9" ht="75.75" customHeight="1" x14ac:dyDescent="0.3">
      <c r="A53" s="90">
        <v>2.8</v>
      </c>
      <c r="B53" s="299" t="s">
        <v>144</v>
      </c>
      <c r="C53" s="300"/>
      <c r="D53" s="300"/>
      <c r="E53" s="301"/>
      <c r="F53" s="40">
        <v>95511392.400000006</v>
      </c>
      <c r="G53" s="36" t="s">
        <v>11</v>
      </c>
      <c r="H53" s="100">
        <f>F53</f>
        <v>95511392.400000006</v>
      </c>
      <c r="I53" s="279"/>
    </row>
    <row r="54" spans="1:9" ht="27.6" x14ac:dyDescent="0.3">
      <c r="A54" s="303">
        <v>2.9</v>
      </c>
      <c r="B54" s="302" t="s">
        <v>121</v>
      </c>
      <c r="C54" s="302"/>
      <c r="D54" s="302"/>
      <c r="E54" s="302"/>
      <c r="F54" s="40">
        <f>76541369+500000000+769767914.9-161046392.4+161046392.4-25000000</f>
        <v>1321309283.9000001</v>
      </c>
      <c r="G54" s="36" t="s">
        <v>119</v>
      </c>
      <c r="H54" s="332">
        <f>+SUM(F54:F57)</f>
        <v>2855201404.1000004</v>
      </c>
      <c r="I54" s="279"/>
    </row>
    <row r="55" spans="1:9" x14ac:dyDescent="0.3">
      <c r="A55" s="303"/>
      <c r="B55" s="302"/>
      <c r="C55" s="302"/>
      <c r="D55" s="302"/>
      <c r="E55" s="302"/>
      <c r="F55" s="40">
        <f>1919742.5+20428595.6+88085151.1</f>
        <v>110433489.19999999</v>
      </c>
      <c r="G55" s="36" t="s">
        <v>8</v>
      </c>
      <c r="H55" s="332"/>
      <c r="I55" s="279"/>
    </row>
    <row r="56" spans="1:9" ht="27.6" x14ac:dyDescent="0.3">
      <c r="A56" s="303"/>
      <c r="B56" s="302"/>
      <c r="C56" s="302"/>
      <c r="D56" s="302"/>
      <c r="E56" s="302"/>
      <c r="F56" s="40">
        <v>300000000</v>
      </c>
      <c r="G56" s="36" t="s">
        <v>136</v>
      </c>
      <c r="H56" s="332"/>
      <c r="I56" s="279"/>
    </row>
    <row r="57" spans="1:9" ht="28.2" thickBot="1" x14ac:dyDescent="0.35">
      <c r="A57" s="324"/>
      <c r="B57" s="331"/>
      <c r="C57" s="331"/>
      <c r="D57" s="331"/>
      <c r="E57" s="331"/>
      <c r="F57" s="127">
        <v>1123458631</v>
      </c>
      <c r="G57" s="54" t="s">
        <v>122</v>
      </c>
      <c r="H57" s="333"/>
      <c r="I57" s="280"/>
    </row>
    <row r="58" spans="1:9" ht="19.8" thickBot="1" x14ac:dyDescent="0.35">
      <c r="A58" s="270" t="s">
        <v>42</v>
      </c>
      <c r="B58" s="271"/>
      <c r="C58" s="271"/>
      <c r="D58" s="271"/>
      <c r="E58" s="271"/>
      <c r="F58" s="271"/>
      <c r="G58" s="271"/>
      <c r="H58" s="272"/>
      <c r="I58" s="266">
        <f>+I60</f>
        <v>6506807113.8299999</v>
      </c>
    </row>
    <row r="59" spans="1:9" ht="19.8" thickBot="1" x14ac:dyDescent="0.35">
      <c r="A59" s="268" t="s">
        <v>24</v>
      </c>
      <c r="B59" s="269"/>
      <c r="C59" s="101">
        <v>44551</v>
      </c>
      <c r="D59" s="268" t="s">
        <v>25</v>
      </c>
      <c r="E59" s="269"/>
      <c r="F59" s="101">
        <v>44561</v>
      </c>
      <c r="G59" s="78" t="s">
        <v>26</v>
      </c>
      <c r="H59" s="102">
        <v>2021130010279</v>
      </c>
      <c r="I59" s="267"/>
    </row>
    <row r="60" spans="1:9" ht="19.8" thickBot="1" x14ac:dyDescent="0.35">
      <c r="A60" s="103">
        <v>3</v>
      </c>
      <c r="B60" s="373" t="s">
        <v>43</v>
      </c>
      <c r="C60" s="373"/>
      <c r="D60" s="373"/>
      <c r="E60" s="373"/>
      <c r="F60" s="373"/>
      <c r="G60" s="373"/>
      <c r="H60" s="374"/>
      <c r="I60" s="95">
        <f>I61</f>
        <v>6506807113.8299999</v>
      </c>
    </row>
    <row r="61" spans="1:9" ht="29.25" customHeight="1" x14ac:dyDescent="0.3">
      <c r="A61" s="85">
        <v>3.1</v>
      </c>
      <c r="B61" s="375" t="s">
        <v>44</v>
      </c>
      <c r="C61" s="375"/>
      <c r="D61" s="375"/>
      <c r="E61" s="375"/>
      <c r="F61" s="49">
        <v>53065600</v>
      </c>
      <c r="G61" s="51" t="s">
        <v>9</v>
      </c>
      <c r="H61" s="104">
        <f>+F61</f>
        <v>53065600</v>
      </c>
      <c r="I61" s="389">
        <f>SUM(H61:H79)</f>
        <v>6506807113.8299999</v>
      </c>
    </row>
    <row r="62" spans="1:9" x14ac:dyDescent="0.3">
      <c r="A62" s="87">
        <v>3.2</v>
      </c>
      <c r="B62" s="302" t="s">
        <v>45</v>
      </c>
      <c r="C62" s="302"/>
      <c r="D62" s="302"/>
      <c r="E62" s="302"/>
      <c r="F62" s="15">
        <f>(126400000+40000000)*1.1</f>
        <v>183040000</v>
      </c>
      <c r="G62" s="36" t="s">
        <v>9</v>
      </c>
      <c r="H62" s="105">
        <f>+F62</f>
        <v>183040000</v>
      </c>
      <c r="I62" s="389"/>
    </row>
    <row r="63" spans="1:9" x14ac:dyDescent="0.3">
      <c r="A63" s="303">
        <v>3.3</v>
      </c>
      <c r="B63" s="302" t="s">
        <v>111</v>
      </c>
      <c r="C63" s="302"/>
      <c r="D63" s="302"/>
      <c r="E63" s="302"/>
      <c r="F63" s="15">
        <f>800000000</f>
        <v>800000000</v>
      </c>
      <c r="G63" s="36" t="s">
        <v>9</v>
      </c>
      <c r="H63" s="376">
        <f>+F63+F64</f>
        <v>1209797357.633333</v>
      </c>
      <c r="I63" s="389"/>
    </row>
    <row r="64" spans="1:9" ht="42" customHeight="1" x14ac:dyDescent="0.3">
      <c r="A64" s="303"/>
      <c r="B64" s="302"/>
      <c r="C64" s="302"/>
      <c r="D64" s="302"/>
      <c r="E64" s="302"/>
      <c r="F64" s="15">
        <f>1000000000-587202642.366667-3000000</f>
        <v>409797357.63333297</v>
      </c>
      <c r="G64" s="36" t="s">
        <v>119</v>
      </c>
      <c r="H64" s="376"/>
      <c r="I64" s="389"/>
    </row>
    <row r="65" spans="1:9" ht="66" customHeight="1" x14ac:dyDescent="0.3">
      <c r="A65" s="87">
        <v>3.4</v>
      </c>
      <c r="B65" s="287" t="s">
        <v>150</v>
      </c>
      <c r="C65" s="288"/>
      <c r="D65" s="288"/>
      <c r="E65" s="289"/>
      <c r="F65" s="15">
        <v>3000000</v>
      </c>
      <c r="G65" s="36" t="s">
        <v>119</v>
      </c>
      <c r="H65" s="106">
        <f>+F65</f>
        <v>3000000</v>
      </c>
      <c r="I65" s="389"/>
    </row>
    <row r="66" spans="1:9" x14ac:dyDescent="0.3">
      <c r="A66" s="303">
        <v>3.5</v>
      </c>
      <c r="B66" s="310" t="s">
        <v>145</v>
      </c>
      <c r="C66" s="310"/>
      <c r="D66" s="310"/>
      <c r="E66" s="310"/>
      <c r="F66" s="15">
        <v>1311199451.3440001</v>
      </c>
      <c r="G66" s="36" t="s">
        <v>9</v>
      </c>
      <c r="H66" s="376">
        <f>SUM(F66:F69)</f>
        <v>3418036508.1740003</v>
      </c>
      <c r="I66" s="389"/>
    </row>
    <row r="67" spans="1:9" ht="27.6" x14ac:dyDescent="0.3">
      <c r="A67" s="303"/>
      <c r="B67" s="310"/>
      <c r="C67" s="310"/>
      <c r="D67" s="310"/>
      <c r="E67" s="310"/>
      <c r="F67" s="15">
        <v>1409523042.6800001</v>
      </c>
      <c r="G67" s="36" t="s">
        <v>119</v>
      </c>
      <c r="H67" s="376"/>
      <c r="I67" s="389"/>
    </row>
    <row r="68" spans="1:9" ht="27.6" x14ac:dyDescent="0.3">
      <c r="A68" s="303"/>
      <c r="B68" s="310"/>
      <c r="C68" s="310"/>
      <c r="D68" s="310"/>
      <c r="E68" s="310"/>
      <c r="F68" s="15">
        <v>364762979.14999998</v>
      </c>
      <c r="G68" s="36" t="s">
        <v>117</v>
      </c>
      <c r="H68" s="376"/>
      <c r="I68" s="389"/>
    </row>
    <row r="69" spans="1:9" ht="27.6" x14ac:dyDescent="0.3">
      <c r="A69" s="303"/>
      <c r="B69" s="310"/>
      <c r="C69" s="310"/>
      <c r="D69" s="310"/>
      <c r="E69" s="310"/>
      <c r="F69" s="15">
        <v>332551035</v>
      </c>
      <c r="G69" s="36" t="s">
        <v>120</v>
      </c>
      <c r="H69" s="376"/>
      <c r="I69" s="389"/>
    </row>
    <row r="70" spans="1:9" x14ac:dyDescent="0.3">
      <c r="A70" s="87">
        <v>3.6</v>
      </c>
      <c r="B70" s="302" t="s">
        <v>46</v>
      </c>
      <c r="C70" s="302"/>
      <c r="D70" s="302"/>
      <c r="E70" s="302"/>
      <c r="F70" s="15">
        <f>+'COMISION RECAUDO'!C6</f>
        <v>247287732.65599999</v>
      </c>
      <c r="G70" s="36" t="s">
        <v>9</v>
      </c>
      <c r="H70" s="107">
        <f>+F70</f>
        <v>247287732.65599999</v>
      </c>
      <c r="I70" s="389"/>
    </row>
    <row r="71" spans="1:9" x14ac:dyDescent="0.3">
      <c r="A71" s="273">
        <v>3.7</v>
      </c>
      <c r="B71" s="290" t="s">
        <v>138</v>
      </c>
      <c r="C71" s="291"/>
      <c r="D71" s="291"/>
      <c r="E71" s="292"/>
      <c r="F71" s="52">
        <v>62565879</v>
      </c>
      <c r="G71" s="36" t="s">
        <v>9</v>
      </c>
      <c r="H71" s="380">
        <f>+SUM(F71:F76)</f>
        <v>888212976.36666703</v>
      </c>
      <c r="I71" s="389"/>
    </row>
    <row r="72" spans="1:9" ht="27.6" x14ac:dyDescent="0.3">
      <c r="A72" s="360"/>
      <c r="B72" s="377"/>
      <c r="C72" s="378"/>
      <c r="D72" s="378"/>
      <c r="E72" s="379"/>
      <c r="F72" s="52">
        <v>402835703.36666703</v>
      </c>
      <c r="G72" s="50" t="s">
        <v>119</v>
      </c>
      <c r="H72" s="381"/>
      <c r="I72" s="389"/>
    </row>
    <row r="73" spans="1:9" ht="27.6" x14ac:dyDescent="0.3">
      <c r="A73" s="360"/>
      <c r="B73" s="377"/>
      <c r="C73" s="378"/>
      <c r="D73" s="378"/>
      <c r="E73" s="379"/>
      <c r="F73" s="52">
        <v>137479085.94999999</v>
      </c>
      <c r="G73" s="50" t="s">
        <v>139</v>
      </c>
      <c r="H73" s="381"/>
      <c r="I73" s="389"/>
    </row>
    <row r="74" spans="1:9" x14ac:dyDescent="0.3">
      <c r="A74" s="360"/>
      <c r="B74" s="377"/>
      <c r="C74" s="378"/>
      <c r="D74" s="378"/>
      <c r="E74" s="379"/>
      <c r="F74" s="52">
        <v>31468380</v>
      </c>
      <c r="G74" s="50" t="s">
        <v>140</v>
      </c>
      <c r="H74" s="381"/>
      <c r="I74" s="389"/>
    </row>
    <row r="75" spans="1:9" ht="27.6" x14ac:dyDescent="0.3">
      <c r="A75" s="360"/>
      <c r="B75" s="377"/>
      <c r="C75" s="378"/>
      <c r="D75" s="378"/>
      <c r="E75" s="379"/>
      <c r="F75" s="52">
        <v>72747130.049999997</v>
      </c>
      <c r="G75" s="50" t="s">
        <v>141</v>
      </c>
      <c r="H75" s="381"/>
      <c r="I75" s="389"/>
    </row>
    <row r="76" spans="1:9" ht="27.6" x14ac:dyDescent="0.3">
      <c r="A76" s="274"/>
      <c r="B76" s="293"/>
      <c r="C76" s="294"/>
      <c r="D76" s="294"/>
      <c r="E76" s="295"/>
      <c r="F76" s="52">
        <v>181116798</v>
      </c>
      <c r="G76" s="50" t="s">
        <v>136</v>
      </c>
      <c r="H76" s="382"/>
      <c r="I76" s="389"/>
    </row>
    <row r="77" spans="1:9" ht="50.25" customHeight="1" x14ac:dyDescent="0.3">
      <c r="A77" s="91">
        <v>3.8</v>
      </c>
      <c r="B77" s="383" t="s">
        <v>137</v>
      </c>
      <c r="C77" s="384"/>
      <c r="D77" s="384"/>
      <c r="E77" s="385"/>
      <c r="F77" s="52">
        <v>320000000</v>
      </c>
      <c r="G77" s="50" t="s">
        <v>139</v>
      </c>
      <c r="H77" s="108">
        <v>320000000</v>
      </c>
      <c r="I77" s="389"/>
    </row>
    <row r="78" spans="1:9" ht="100.5" customHeight="1" x14ac:dyDescent="0.3">
      <c r="A78" s="87">
        <v>3.9</v>
      </c>
      <c r="B78" s="310" t="s">
        <v>156</v>
      </c>
      <c r="C78" s="310"/>
      <c r="D78" s="310"/>
      <c r="E78" s="310"/>
      <c r="F78" s="15">
        <v>179366939</v>
      </c>
      <c r="G78" s="36" t="s">
        <v>119</v>
      </c>
      <c r="H78" s="107">
        <f>+F78</f>
        <v>179366939</v>
      </c>
      <c r="I78" s="389"/>
    </row>
    <row r="79" spans="1:9" ht="73.5" customHeight="1" thickBot="1" x14ac:dyDescent="0.35">
      <c r="A79" s="109">
        <v>3.1</v>
      </c>
      <c r="B79" s="386" t="s">
        <v>158</v>
      </c>
      <c r="C79" s="387"/>
      <c r="D79" s="387"/>
      <c r="E79" s="388"/>
      <c r="F79" s="110">
        <v>5000000</v>
      </c>
      <c r="G79" s="111" t="s">
        <v>119</v>
      </c>
      <c r="H79" s="112">
        <f>+F79</f>
        <v>5000000</v>
      </c>
      <c r="I79" s="390"/>
    </row>
    <row r="80" spans="1:9" ht="19.8" thickBot="1" x14ac:dyDescent="0.35">
      <c r="A80" s="270" t="s">
        <v>47</v>
      </c>
      <c r="B80" s="271"/>
      <c r="C80" s="271"/>
      <c r="D80" s="271"/>
      <c r="E80" s="271"/>
      <c r="F80" s="271"/>
      <c r="G80" s="271"/>
      <c r="H80" s="272"/>
      <c r="I80" s="341">
        <f>+I82</f>
        <v>531119772.67000002</v>
      </c>
    </row>
    <row r="81" spans="1:9" ht="33" customHeight="1" thickBot="1" x14ac:dyDescent="0.35">
      <c r="A81" s="285" t="s">
        <v>24</v>
      </c>
      <c r="B81" s="286"/>
      <c r="C81" s="81">
        <v>44495</v>
      </c>
      <c r="D81" s="285" t="s">
        <v>25</v>
      </c>
      <c r="E81" s="286"/>
      <c r="F81" s="81">
        <v>44565</v>
      </c>
      <c r="G81" s="80" t="s">
        <v>26</v>
      </c>
      <c r="H81" s="113">
        <v>2021130010176</v>
      </c>
      <c r="I81" s="342"/>
    </row>
    <row r="82" spans="1:9" ht="19.8" thickBot="1" x14ac:dyDescent="0.35">
      <c r="A82" s="83">
        <v>4</v>
      </c>
      <c r="B82" s="357" t="s">
        <v>48</v>
      </c>
      <c r="C82" s="357"/>
      <c r="D82" s="357"/>
      <c r="E82" s="357"/>
      <c r="F82" s="357"/>
      <c r="G82" s="357"/>
      <c r="H82" s="372"/>
      <c r="I82" s="95">
        <f>+I83</f>
        <v>531119772.67000002</v>
      </c>
    </row>
    <row r="83" spans="1:9" x14ac:dyDescent="0.3">
      <c r="A83" s="360" t="s">
        <v>49</v>
      </c>
      <c r="B83" s="416" t="s">
        <v>129</v>
      </c>
      <c r="C83" s="417"/>
      <c r="D83" s="417"/>
      <c r="E83" s="418"/>
      <c r="F83" s="55">
        <v>10764358</v>
      </c>
      <c r="G83" s="56" t="s">
        <v>7</v>
      </c>
      <c r="H83" s="422">
        <f>+F83+F84</f>
        <v>77119772.670000002</v>
      </c>
      <c r="I83" s="396">
        <f>SUM(H83:H88)</f>
        <v>531119772.67000002</v>
      </c>
    </row>
    <row r="84" spans="1:9" ht="57" customHeight="1" x14ac:dyDescent="0.3">
      <c r="A84" s="274"/>
      <c r="B84" s="419"/>
      <c r="C84" s="420"/>
      <c r="D84" s="420"/>
      <c r="E84" s="421"/>
      <c r="F84" s="52">
        <f>58703146.07-5230017+12882285.6</f>
        <v>66355414.670000002</v>
      </c>
      <c r="G84" s="50" t="s">
        <v>118</v>
      </c>
      <c r="H84" s="423"/>
      <c r="I84" s="397"/>
    </row>
    <row r="85" spans="1:9" ht="57" customHeight="1" x14ac:dyDescent="0.3">
      <c r="A85" s="91">
        <v>4.2</v>
      </c>
      <c r="B85" s="424" t="s">
        <v>170</v>
      </c>
      <c r="C85" s="425"/>
      <c r="D85" s="425"/>
      <c r="E85" s="426"/>
      <c r="F85" s="52">
        <v>24000000</v>
      </c>
      <c r="G85" s="50" t="s">
        <v>118</v>
      </c>
      <c r="H85" s="135">
        <v>24000000</v>
      </c>
      <c r="I85" s="397"/>
    </row>
    <row r="86" spans="1:9" ht="30.9" customHeight="1" x14ac:dyDescent="0.3">
      <c r="A86" s="273">
        <v>4.3</v>
      </c>
      <c r="B86" s="403" t="s">
        <v>112</v>
      </c>
      <c r="C86" s="404"/>
      <c r="D86" s="404"/>
      <c r="E86" s="405"/>
      <c r="F86" s="52">
        <v>265235642</v>
      </c>
      <c r="G86" s="50" t="s">
        <v>7</v>
      </c>
      <c r="H86" s="413">
        <f>+F86+F87+F88</f>
        <v>430000000</v>
      </c>
      <c r="I86" s="397"/>
    </row>
    <row r="87" spans="1:9" ht="27.6" x14ac:dyDescent="0.3">
      <c r="A87" s="360"/>
      <c r="B87" s="406"/>
      <c r="C87" s="407"/>
      <c r="D87" s="407"/>
      <c r="E87" s="408"/>
      <c r="F87" s="52">
        <v>112965000.84999999</v>
      </c>
      <c r="G87" s="50" t="s">
        <v>117</v>
      </c>
      <c r="H87" s="414"/>
      <c r="I87" s="397"/>
    </row>
    <row r="88" spans="1:9" ht="15" thickBot="1" x14ac:dyDescent="0.35">
      <c r="A88" s="412"/>
      <c r="B88" s="409"/>
      <c r="C88" s="410"/>
      <c r="D88" s="410"/>
      <c r="E88" s="411"/>
      <c r="F88" s="53">
        <f>59451625.75+5230017-12882285.6</f>
        <v>51799357.149999999</v>
      </c>
      <c r="G88" s="54" t="s">
        <v>118</v>
      </c>
      <c r="H88" s="415"/>
      <c r="I88" s="398"/>
    </row>
    <row r="89" spans="1:9" ht="47.25" customHeight="1" x14ac:dyDescent="0.3">
      <c r="A89" s="400"/>
      <c r="B89" s="401"/>
      <c r="C89" s="401"/>
      <c r="D89" s="401"/>
      <c r="E89" s="401"/>
      <c r="F89" s="401"/>
      <c r="G89" s="401"/>
      <c r="H89" s="401"/>
      <c r="I89" s="402"/>
    </row>
    <row r="90" spans="1:9" ht="15.6" x14ac:dyDescent="0.3">
      <c r="A90" s="114"/>
      <c r="B90" s="399"/>
      <c r="C90" s="399"/>
      <c r="D90" s="399"/>
      <c r="E90" s="399"/>
      <c r="F90" s="16"/>
      <c r="G90" s="18"/>
      <c r="H90" s="138"/>
      <c r="I90" s="17"/>
    </row>
    <row r="91" spans="1:9" x14ac:dyDescent="0.3">
      <c r="A91" s="391" t="s">
        <v>50</v>
      </c>
      <c r="B91" s="392"/>
      <c r="C91" s="392"/>
      <c r="D91" s="140"/>
      <c r="E91" s="140"/>
      <c r="F91" s="140" t="s">
        <v>126</v>
      </c>
      <c r="G91" s="139"/>
      <c r="H91" s="141" t="s">
        <v>166</v>
      </c>
      <c r="I91" s="116"/>
    </row>
    <row r="92" spans="1:9" x14ac:dyDescent="0.3">
      <c r="A92" s="391" t="s">
        <v>51</v>
      </c>
      <c r="B92" s="392"/>
      <c r="C92" s="392"/>
      <c r="D92" s="140"/>
      <c r="E92" s="140"/>
      <c r="F92" s="140" t="s">
        <v>52</v>
      </c>
      <c r="G92" s="139"/>
      <c r="H92" s="140" t="s">
        <v>165</v>
      </c>
      <c r="I92" s="116"/>
    </row>
    <row r="93" spans="1:9" x14ac:dyDescent="0.3">
      <c r="A93" s="115"/>
      <c r="B93" s="139"/>
      <c r="C93" s="139"/>
      <c r="D93" s="140"/>
      <c r="E93" s="140"/>
      <c r="F93" s="140"/>
      <c r="G93" s="139"/>
      <c r="H93" s="140"/>
      <c r="I93" s="116"/>
    </row>
    <row r="94" spans="1:9" x14ac:dyDescent="0.3">
      <c r="A94" s="117"/>
      <c r="B94" s="393"/>
      <c r="C94" s="393"/>
      <c r="D94" s="393"/>
      <c r="E94" s="394"/>
      <c r="F94" s="393"/>
      <c r="G94" s="142"/>
      <c r="H94" s="393"/>
      <c r="I94" s="395"/>
    </row>
    <row r="95" spans="1:9" x14ac:dyDescent="0.3">
      <c r="A95" s="119" t="s">
        <v>53</v>
      </c>
      <c r="B95" s="142"/>
      <c r="C95" s="142"/>
      <c r="D95" s="142"/>
      <c r="E95" s="142"/>
      <c r="F95" s="143"/>
      <c r="G95" s="143"/>
      <c r="H95" s="142"/>
      <c r="I95" s="118"/>
    </row>
    <row r="96" spans="1:9" x14ac:dyDescent="0.3">
      <c r="A96" s="120" t="s">
        <v>54</v>
      </c>
      <c r="F96" s="19"/>
      <c r="G96" s="19"/>
      <c r="I96" s="121"/>
    </row>
    <row r="97" spans="1:9" x14ac:dyDescent="0.3">
      <c r="A97" s="120"/>
      <c r="F97" s="19"/>
      <c r="G97" s="19"/>
      <c r="I97" s="122"/>
    </row>
    <row r="98" spans="1:9" ht="15" thickBot="1" x14ac:dyDescent="0.35">
      <c r="A98" s="123"/>
      <c r="B98" s="124"/>
      <c r="C98" s="124"/>
      <c r="D98" s="124"/>
      <c r="E98" s="124"/>
      <c r="F98" s="125"/>
      <c r="G98" s="125"/>
      <c r="H98" s="124"/>
      <c r="I98" s="126"/>
    </row>
    <row r="99" spans="1:9" x14ac:dyDescent="0.3">
      <c r="F99" s="19"/>
      <c r="G99" s="19"/>
    </row>
    <row r="100" spans="1:9" x14ac:dyDescent="0.3">
      <c r="F100" s="19"/>
      <c r="G100" s="19"/>
    </row>
    <row r="101" spans="1:9" x14ac:dyDescent="0.3">
      <c r="F101" s="19"/>
      <c r="G101" s="19"/>
    </row>
    <row r="102" spans="1:9" x14ac:dyDescent="0.3">
      <c r="F102" s="19"/>
      <c r="G102" s="19"/>
    </row>
    <row r="103" spans="1:9" x14ac:dyDescent="0.3">
      <c r="A103" t="s">
        <v>130</v>
      </c>
      <c r="B103" t="s">
        <v>135</v>
      </c>
    </row>
    <row r="104" spans="1:9" x14ac:dyDescent="0.3">
      <c r="A104" t="s">
        <v>131</v>
      </c>
      <c r="B104" t="s">
        <v>132</v>
      </c>
    </row>
    <row r="105" spans="1:9" x14ac:dyDescent="0.3">
      <c r="A105" t="s">
        <v>133</v>
      </c>
      <c r="B105" t="s">
        <v>134</v>
      </c>
    </row>
  </sheetData>
  <mergeCells count="102">
    <mergeCell ref="A92:C92"/>
    <mergeCell ref="B94:D94"/>
    <mergeCell ref="E94:F94"/>
    <mergeCell ref="H94:I94"/>
    <mergeCell ref="I83:I88"/>
    <mergeCell ref="B90:E90"/>
    <mergeCell ref="A91:C91"/>
    <mergeCell ref="A89:I89"/>
    <mergeCell ref="B86:E88"/>
    <mergeCell ref="A86:A88"/>
    <mergeCell ref="H86:H88"/>
    <mergeCell ref="B83:E84"/>
    <mergeCell ref="A83:A84"/>
    <mergeCell ref="H83:H84"/>
    <mergeCell ref="B85:E85"/>
    <mergeCell ref="I80:I81"/>
    <mergeCell ref="B62:E62"/>
    <mergeCell ref="B82:H82"/>
    <mergeCell ref="B60:H60"/>
    <mergeCell ref="B61:E61"/>
    <mergeCell ref="B70:E70"/>
    <mergeCell ref="A80:H80"/>
    <mergeCell ref="A63:A64"/>
    <mergeCell ref="B63:E64"/>
    <mergeCell ref="H63:H64"/>
    <mergeCell ref="H66:H69"/>
    <mergeCell ref="B66:E69"/>
    <mergeCell ref="A66:A69"/>
    <mergeCell ref="A81:B81"/>
    <mergeCell ref="D81:E81"/>
    <mergeCell ref="B71:E76"/>
    <mergeCell ref="A71:A76"/>
    <mergeCell ref="H71:H76"/>
    <mergeCell ref="B77:E77"/>
    <mergeCell ref="B78:E78"/>
    <mergeCell ref="B79:E79"/>
    <mergeCell ref="I61:I79"/>
    <mergeCell ref="A11:A15"/>
    <mergeCell ref="I4:I6"/>
    <mergeCell ref="B7:E7"/>
    <mergeCell ref="A8:H8"/>
    <mergeCell ref="I8:I9"/>
    <mergeCell ref="A9:B9"/>
    <mergeCell ref="D9:E9"/>
    <mergeCell ref="B11:E15"/>
    <mergeCell ref="H11:H15"/>
    <mergeCell ref="A1:B6"/>
    <mergeCell ref="C1:H6"/>
    <mergeCell ref="B10:H10"/>
    <mergeCell ref="I11:I40"/>
    <mergeCell ref="B38:E38"/>
    <mergeCell ref="A20:A21"/>
    <mergeCell ref="B20:E21"/>
    <mergeCell ref="H20:H21"/>
    <mergeCell ref="A24:A26"/>
    <mergeCell ref="B24:E26"/>
    <mergeCell ref="H24:H26"/>
    <mergeCell ref="B30:E30"/>
    <mergeCell ref="A22:A23"/>
    <mergeCell ref="B22:E23"/>
    <mergeCell ref="H22:H23"/>
    <mergeCell ref="B27:E29"/>
    <mergeCell ref="A27:A29"/>
    <mergeCell ref="B17:E19"/>
    <mergeCell ref="A17:A19"/>
    <mergeCell ref="B16:E16"/>
    <mergeCell ref="B31:E31"/>
    <mergeCell ref="H17:H19"/>
    <mergeCell ref="H45:H46"/>
    <mergeCell ref="B65:E65"/>
    <mergeCell ref="A39:A40"/>
    <mergeCell ref="B39:E40"/>
    <mergeCell ref="H39:H40"/>
    <mergeCell ref="B37:E37"/>
    <mergeCell ref="A32:A36"/>
    <mergeCell ref="B32:E36"/>
    <mergeCell ref="H32:H36"/>
    <mergeCell ref="H27:H29"/>
    <mergeCell ref="A54:A57"/>
    <mergeCell ref="A41:H41"/>
    <mergeCell ref="B43:H43"/>
    <mergeCell ref="B54:E57"/>
    <mergeCell ref="H54:H57"/>
    <mergeCell ref="B51:E51"/>
    <mergeCell ref="B47:E47"/>
    <mergeCell ref="I58:I59"/>
    <mergeCell ref="A59:B59"/>
    <mergeCell ref="D59:E59"/>
    <mergeCell ref="A58:H58"/>
    <mergeCell ref="A49:A50"/>
    <mergeCell ref="H49:H50"/>
    <mergeCell ref="I44:I57"/>
    <mergeCell ref="B44:E44"/>
    <mergeCell ref="I41:I42"/>
    <mergeCell ref="A42:B42"/>
    <mergeCell ref="D42:E42"/>
    <mergeCell ref="B48:E48"/>
    <mergeCell ref="B49:E50"/>
    <mergeCell ref="B52:E52"/>
    <mergeCell ref="B53:E53"/>
    <mergeCell ref="A45:A46"/>
    <mergeCell ref="B45:E46"/>
  </mergeCells>
  <phoneticPr fontId="26" type="noConversion"/>
  <printOptions horizontalCentered="1" verticalCentered="1"/>
  <pageMargins left="1.2" right="0.7" top="0.75" bottom="0.75" header="0.3" footer="0.3"/>
  <pageSetup scale="51" fitToHeight="4" orientation="landscape" r:id="rId1"/>
  <rowBreaks count="3" manualBreakCount="3">
    <brk id="32" max="8" man="1"/>
    <brk id="57" max="8" man="1"/>
    <brk id="79" max="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A1C31-FC76-4C67-BE49-20A0780EFB01}">
  <dimension ref="A1"/>
  <sheetViews>
    <sheetView topLeftCell="D1" workbookViewId="0">
      <selection activeCell="D1" sqref="D1"/>
    </sheetView>
  </sheetViews>
  <sheetFormatPr baseColWidth="10" defaultColWidth="10.77734375" defaultRowHeight="14.4" x14ac:dyDescent="0.3"/>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A512D-7205-43E1-95C5-FE7A53739824}">
  <dimension ref="A2:G9"/>
  <sheetViews>
    <sheetView workbookViewId="0">
      <selection activeCell="A12" sqref="A12"/>
    </sheetView>
  </sheetViews>
  <sheetFormatPr baseColWidth="10" defaultColWidth="10.77734375" defaultRowHeight="14.4" x14ac:dyDescent="0.3"/>
  <cols>
    <col min="1" max="1" width="34.88671875" bestFit="1" customWidth="1"/>
    <col min="2" max="3" width="16.77734375" bestFit="1" customWidth="1"/>
    <col min="7" max="7" width="17.88671875" bestFit="1" customWidth="1"/>
  </cols>
  <sheetData>
    <row r="2" spans="1:7" x14ac:dyDescent="0.3">
      <c r="A2" s="33" t="s">
        <v>89</v>
      </c>
      <c r="B2" s="22">
        <v>1532175957</v>
      </c>
    </row>
    <row r="3" spans="1:7" x14ac:dyDescent="0.3">
      <c r="A3" s="33" t="s">
        <v>90</v>
      </c>
      <c r="B3" s="22">
        <f>+B2*1.08</f>
        <v>1654750033.5600002</v>
      </c>
      <c r="C3" s="22">
        <f>+B3/12*8</f>
        <v>1103166689.0400002</v>
      </c>
      <c r="D3" s="33" t="s">
        <v>91</v>
      </c>
      <c r="G3" s="35">
        <v>1164033932.9100001</v>
      </c>
    </row>
    <row r="5" spans="1:7" x14ac:dyDescent="0.3">
      <c r="A5" s="348" t="s">
        <v>92</v>
      </c>
      <c r="B5" s="348"/>
    </row>
    <row r="6" spans="1:7" x14ac:dyDescent="0.3">
      <c r="A6" t="s">
        <v>93</v>
      </c>
      <c r="B6">
        <f>+'POAI PROYECTADO 2023'!H27</f>
        <v>505500000</v>
      </c>
    </row>
    <row r="7" spans="1:7" x14ac:dyDescent="0.3">
      <c r="A7" t="s">
        <v>94</v>
      </c>
      <c r="B7">
        <f>+'POAI PROYECTADO 2023'!H63</f>
        <v>1209797357.633333</v>
      </c>
    </row>
    <row r="8" spans="1:7" x14ac:dyDescent="0.3">
      <c r="A8" t="s">
        <v>95</v>
      </c>
      <c r="B8">
        <f>+'POAI PROYECTADO 2023'!F88</f>
        <v>51799357.149999999</v>
      </c>
    </row>
    <row r="9" spans="1:7" x14ac:dyDescent="0.3">
      <c r="A9" s="22" t="s">
        <v>96</v>
      </c>
      <c r="B9" s="22">
        <f>+B8+B7+B6</f>
        <v>1767096714.7833331</v>
      </c>
    </row>
  </sheetData>
  <mergeCells count="1">
    <mergeCell ref="A5:B5"/>
  </mergeCells>
  <phoneticPr fontId="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76513-1B29-4675-968F-7667ADE6CA7C}">
  <dimension ref="B1:G2"/>
  <sheetViews>
    <sheetView workbookViewId="0">
      <selection activeCell="D10" sqref="D10"/>
    </sheetView>
  </sheetViews>
  <sheetFormatPr baseColWidth="10" defaultColWidth="10.77734375" defaultRowHeight="14.4" x14ac:dyDescent="0.3"/>
  <sheetData>
    <row r="1" spans="2:7" x14ac:dyDescent="0.3">
      <c r="B1">
        <v>2963266388.4879994</v>
      </c>
      <c r="F1">
        <v>4359746079.9979992</v>
      </c>
      <c r="G1">
        <v>4494781101.3999996</v>
      </c>
    </row>
    <row r="2" spans="2:7" x14ac:dyDescent="0.3">
      <c r="C2">
        <f>+(4359746080-2963266388.49)</f>
        <v>1396479691.5100002</v>
      </c>
      <c r="D2">
        <v>1396479691.51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E49B-EE61-443E-8111-81441A7F1FED}">
  <dimension ref="A1:I12"/>
  <sheetViews>
    <sheetView zoomScale="110" zoomScaleNormal="110" workbookViewId="0">
      <selection activeCell="C2" sqref="C2"/>
    </sheetView>
  </sheetViews>
  <sheetFormatPr baseColWidth="10" defaultColWidth="10.77734375" defaultRowHeight="14.4" x14ac:dyDescent="0.3"/>
  <cols>
    <col min="1" max="1" width="45.44140625" customWidth="1"/>
    <col min="2" max="4" width="16.77734375" customWidth="1"/>
    <col min="5" max="5" width="18.109375" customWidth="1"/>
    <col min="6" max="6" width="22.21875" customWidth="1"/>
    <col min="7" max="7" width="17.88671875" bestFit="1" customWidth="1"/>
    <col min="8" max="9" width="16.77734375" bestFit="1" customWidth="1"/>
  </cols>
  <sheetData>
    <row r="1" spans="1:9" x14ac:dyDescent="0.3">
      <c r="A1" s="1"/>
      <c r="B1" s="2" t="s">
        <v>0</v>
      </c>
      <c r="C1" s="2" t="s">
        <v>1</v>
      </c>
      <c r="D1" s="2" t="s">
        <v>2</v>
      </c>
      <c r="E1" s="2" t="s">
        <v>3</v>
      </c>
      <c r="F1" s="2" t="s">
        <v>4</v>
      </c>
      <c r="G1" s="525" t="s">
        <v>5</v>
      </c>
    </row>
    <row r="2" spans="1:9" ht="57.6" x14ac:dyDescent="0.3">
      <c r="A2" s="3" t="s">
        <v>6</v>
      </c>
      <c r="B2" s="3" t="s">
        <v>7</v>
      </c>
      <c r="C2" s="3" t="s">
        <v>8</v>
      </c>
      <c r="D2" s="3" t="s">
        <v>9</v>
      </c>
      <c r="E2" s="3" t="s">
        <v>10</v>
      </c>
      <c r="F2" s="3" t="s">
        <v>11</v>
      </c>
      <c r="G2" s="525"/>
    </row>
    <row r="3" spans="1:9" x14ac:dyDescent="0.3">
      <c r="A3" s="4" t="s">
        <v>12</v>
      </c>
      <c r="B3" s="5">
        <f>+B4</f>
        <v>6463376054</v>
      </c>
      <c r="C3" s="5">
        <f t="shared" ref="C3:G4" si="0">+C4</f>
        <v>2993363565</v>
      </c>
      <c r="D3" s="5">
        <f t="shared" si="0"/>
        <v>2657158663</v>
      </c>
      <c r="E3" s="5">
        <f t="shared" si="0"/>
        <v>1427638</v>
      </c>
      <c r="F3" s="5">
        <f t="shared" si="0"/>
        <v>687559043</v>
      </c>
      <c r="G3" s="5">
        <f t="shared" si="0"/>
        <v>12802884963</v>
      </c>
    </row>
    <row r="4" spans="1:9" x14ac:dyDescent="0.3">
      <c r="A4" s="6" t="s">
        <v>13</v>
      </c>
      <c r="B4" s="7">
        <f>+B5</f>
        <v>6463376054</v>
      </c>
      <c r="C4" s="7">
        <f t="shared" si="0"/>
        <v>2993363565</v>
      </c>
      <c r="D4" s="7">
        <f t="shared" si="0"/>
        <v>2657158663</v>
      </c>
      <c r="E4" s="7">
        <f t="shared" si="0"/>
        <v>1427638</v>
      </c>
      <c r="F4" s="7">
        <f t="shared" si="0"/>
        <v>687559043</v>
      </c>
      <c r="G4" s="7">
        <f t="shared" si="0"/>
        <v>12802884963</v>
      </c>
    </row>
    <row r="5" spans="1:9" ht="28.8" x14ac:dyDescent="0.3">
      <c r="A5" s="8" t="s">
        <v>14</v>
      </c>
      <c r="B5" s="9">
        <f>+SUM(B6:B9)</f>
        <v>6463376054</v>
      </c>
      <c r="C5" s="9">
        <f t="shared" ref="C5:G5" si="1">+SUM(C6:C9)</f>
        <v>2993363565</v>
      </c>
      <c r="D5" s="9">
        <f t="shared" si="1"/>
        <v>2657158663</v>
      </c>
      <c r="E5" s="9">
        <f t="shared" si="1"/>
        <v>1427638</v>
      </c>
      <c r="F5" s="9">
        <f t="shared" si="1"/>
        <v>687559043</v>
      </c>
      <c r="G5" s="9">
        <f t="shared" si="1"/>
        <v>12802884963</v>
      </c>
    </row>
    <row r="6" spans="1:9" ht="28.8" x14ac:dyDescent="0.3">
      <c r="A6" s="10" t="s">
        <v>15</v>
      </c>
      <c r="B6" s="11">
        <v>0</v>
      </c>
      <c r="C6" s="11">
        <v>0</v>
      </c>
      <c r="D6" s="11">
        <v>2657158663</v>
      </c>
      <c r="E6" s="11">
        <v>0</v>
      </c>
      <c r="F6" s="11">
        <v>0</v>
      </c>
      <c r="G6" s="12">
        <f>+SUM(B6:F6)</f>
        <v>2657158663</v>
      </c>
    </row>
    <row r="7" spans="1:9" ht="28.8" x14ac:dyDescent="0.3">
      <c r="A7" s="10" t="s">
        <v>16</v>
      </c>
      <c r="B7" s="11">
        <v>300000000</v>
      </c>
      <c r="C7" s="11">
        <v>0</v>
      </c>
      <c r="D7" s="11">
        <v>0</v>
      </c>
      <c r="E7" s="11">
        <v>0</v>
      </c>
      <c r="F7" s="11">
        <v>0</v>
      </c>
      <c r="G7" s="12">
        <f t="shared" ref="G7:G9" si="2">+SUM(B7:F7)</f>
        <v>300000000</v>
      </c>
    </row>
    <row r="8" spans="1:9" ht="43.2" x14ac:dyDescent="0.3">
      <c r="A8" s="10" t="s">
        <v>17</v>
      </c>
      <c r="B8" s="11">
        <v>3732354626</v>
      </c>
      <c r="C8" s="11">
        <v>2277207522</v>
      </c>
      <c r="D8" s="11">
        <v>0</v>
      </c>
      <c r="E8" s="11">
        <v>1427638</v>
      </c>
      <c r="F8" s="11">
        <v>400705976.60000002</v>
      </c>
      <c r="G8" s="12">
        <f t="shared" si="2"/>
        <v>6411695762.6000004</v>
      </c>
      <c r="H8" s="20"/>
      <c r="I8" s="20"/>
    </row>
    <row r="9" spans="1:9" ht="43.2" x14ac:dyDescent="0.3">
      <c r="A9" s="10" t="s">
        <v>18</v>
      </c>
      <c r="B9" s="11">
        <v>2431021428</v>
      </c>
      <c r="C9" s="11">
        <v>716156043</v>
      </c>
      <c r="D9" s="11">
        <v>0</v>
      </c>
      <c r="E9" s="11">
        <v>0</v>
      </c>
      <c r="F9" s="11">
        <v>286853066.39999998</v>
      </c>
      <c r="G9" s="12">
        <f t="shared" si="2"/>
        <v>3434030537.4000001</v>
      </c>
      <c r="I9" s="20"/>
    </row>
    <row r="10" spans="1:9" x14ac:dyDescent="0.3">
      <c r="I10" s="20"/>
    </row>
    <row r="11" spans="1:9" x14ac:dyDescent="0.3">
      <c r="I11" s="20"/>
    </row>
    <row r="12" spans="1:9" x14ac:dyDescent="0.3">
      <c r="I12" s="20"/>
    </row>
  </sheetData>
  <mergeCells count="1">
    <mergeCell ref="G1:G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886D2-58C6-4CAD-A1CE-93032A4C75B1}">
  <sheetPr filterMode="1"/>
  <dimension ref="A1:E23"/>
  <sheetViews>
    <sheetView workbookViewId="0">
      <selection activeCell="C23" sqref="C23"/>
    </sheetView>
  </sheetViews>
  <sheetFormatPr baseColWidth="10" defaultColWidth="10.77734375" defaultRowHeight="14.4" x14ac:dyDescent="0.3"/>
  <cols>
    <col min="1" max="1" width="79.5546875" customWidth="1"/>
    <col min="2" max="3" width="15.21875" bestFit="1" customWidth="1"/>
  </cols>
  <sheetData>
    <row r="1" spans="1:5" x14ac:dyDescent="0.3">
      <c r="A1" s="21" t="s">
        <v>73</v>
      </c>
      <c r="B1" s="21" t="s">
        <v>74</v>
      </c>
      <c r="C1" s="21" t="s">
        <v>75</v>
      </c>
    </row>
    <row r="2" spans="1:5" hidden="1" x14ac:dyDescent="0.3">
      <c r="A2" s="34" t="s">
        <v>61</v>
      </c>
      <c r="B2" s="20">
        <v>1954012</v>
      </c>
      <c r="C2" s="20">
        <f>+B2*1.1</f>
        <v>2149413.2000000002</v>
      </c>
      <c r="E2" t="s">
        <v>105</v>
      </c>
    </row>
    <row r="3" spans="1:5" hidden="1" x14ac:dyDescent="0.3">
      <c r="A3" s="34" t="s">
        <v>62</v>
      </c>
      <c r="B3" s="20">
        <v>1916666</v>
      </c>
      <c r="C3" s="20">
        <f t="shared" ref="C3:C19" si="0">+B3*1.1</f>
        <v>2108332.6</v>
      </c>
      <c r="E3" t="s">
        <v>106</v>
      </c>
    </row>
    <row r="4" spans="1:5" hidden="1" x14ac:dyDescent="0.3">
      <c r="A4" s="34" t="s">
        <v>63</v>
      </c>
      <c r="B4" s="20">
        <v>2304545</v>
      </c>
      <c r="C4" s="20">
        <f t="shared" si="0"/>
        <v>2534999.5</v>
      </c>
      <c r="E4" t="s">
        <v>107</v>
      </c>
    </row>
    <row r="5" spans="1:5" x14ac:dyDescent="0.3">
      <c r="A5" t="s">
        <v>64</v>
      </c>
      <c r="B5" s="20">
        <v>2726535</v>
      </c>
      <c r="C5" s="20">
        <f t="shared" si="0"/>
        <v>2999188.5000000005</v>
      </c>
      <c r="E5" t="s">
        <v>108</v>
      </c>
    </row>
    <row r="6" spans="1:5" hidden="1" x14ac:dyDescent="0.3">
      <c r="A6" s="34" t="s">
        <v>65</v>
      </c>
      <c r="B6" s="20">
        <v>3719616</v>
      </c>
      <c r="C6" s="20">
        <f t="shared" si="0"/>
        <v>4091577.6000000006</v>
      </c>
      <c r="E6" t="s">
        <v>109</v>
      </c>
    </row>
    <row r="7" spans="1:5" hidden="1" x14ac:dyDescent="0.3">
      <c r="A7" t="s">
        <v>66</v>
      </c>
      <c r="B7" s="20">
        <v>17340762</v>
      </c>
      <c r="C7" s="20">
        <f t="shared" si="0"/>
        <v>19074838.200000003</v>
      </c>
      <c r="E7" t="s">
        <v>110</v>
      </c>
    </row>
    <row r="8" spans="1:5" hidden="1" x14ac:dyDescent="0.3">
      <c r="A8" s="34" t="s">
        <v>55</v>
      </c>
      <c r="B8" s="20">
        <v>36490509</v>
      </c>
      <c r="C8" s="20">
        <f t="shared" si="0"/>
        <v>40139559.900000006</v>
      </c>
    </row>
    <row r="9" spans="1:5" hidden="1" x14ac:dyDescent="0.3">
      <c r="A9" s="34" t="s">
        <v>56</v>
      </c>
      <c r="B9" s="20">
        <v>33597564</v>
      </c>
      <c r="C9" s="20">
        <f t="shared" si="0"/>
        <v>36957320.400000006</v>
      </c>
    </row>
    <row r="10" spans="1:5" x14ac:dyDescent="0.3">
      <c r="A10" t="s">
        <v>57</v>
      </c>
      <c r="B10" s="20">
        <v>39749677</v>
      </c>
      <c r="C10" s="20">
        <f t="shared" si="0"/>
        <v>43724644.700000003</v>
      </c>
    </row>
    <row r="11" spans="1:5" hidden="1" x14ac:dyDescent="0.3">
      <c r="A11" s="34" t="s">
        <v>58</v>
      </c>
      <c r="B11" s="20">
        <v>27942750</v>
      </c>
      <c r="C11" s="20">
        <f t="shared" si="0"/>
        <v>30737025.000000004</v>
      </c>
    </row>
    <row r="12" spans="1:5" hidden="1" x14ac:dyDescent="0.3">
      <c r="A12" s="34" t="s">
        <v>59</v>
      </c>
      <c r="B12" s="20">
        <v>54227646</v>
      </c>
      <c r="C12" s="20">
        <f t="shared" si="0"/>
        <v>59650410.600000001</v>
      </c>
    </row>
    <row r="13" spans="1:5" hidden="1" x14ac:dyDescent="0.3">
      <c r="A13" s="34" t="s">
        <v>60</v>
      </c>
      <c r="B13" s="20">
        <v>25897460</v>
      </c>
      <c r="C13" s="20">
        <f t="shared" si="0"/>
        <v>28487206.000000004</v>
      </c>
    </row>
    <row r="14" spans="1:5" hidden="1" x14ac:dyDescent="0.3">
      <c r="A14" s="34" t="s">
        <v>67</v>
      </c>
      <c r="B14" s="20">
        <v>492979</v>
      </c>
      <c r="C14" s="20">
        <f t="shared" si="0"/>
        <v>542276.9</v>
      </c>
    </row>
    <row r="15" spans="1:5" hidden="1" x14ac:dyDescent="0.3">
      <c r="A15" s="34" t="s">
        <v>68</v>
      </c>
      <c r="B15" s="20">
        <v>305432</v>
      </c>
      <c r="C15" s="20">
        <f t="shared" si="0"/>
        <v>335975.2</v>
      </c>
    </row>
    <row r="16" spans="1:5" hidden="1" x14ac:dyDescent="0.3">
      <c r="A16" s="34" t="s">
        <v>69</v>
      </c>
      <c r="B16" s="20">
        <v>221155</v>
      </c>
      <c r="C16" s="20">
        <f t="shared" si="0"/>
        <v>243270.50000000003</v>
      </c>
    </row>
    <row r="17" spans="1:3" hidden="1" x14ac:dyDescent="0.3">
      <c r="A17" s="34" t="s">
        <v>70</v>
      </c>
      <c r="B17" s="20">
        <v>254025</v>
      </c>
      <c r="C17" s="20">
        <f t="shared" si="0"/>
        <v>279427.5</v>
      </c>
    </row>
    <row r="18" spans="1:3" x14ac:dyDescent="0.3">
      <c r="A18" t="s">
        <v>71</v>
      </c>
      <c r="B18" s="20">
        <v>361361</v>
      </c>
      <c r="C18" s="20">
        <f t="shared" si="0"/>
        <v>397497.10000000003</v>
      </c>
    </row>
    <row r="19" spans="1:3" hidden="1" x14ac:dyDescent="0.3">
      <c r="A19" s="34" t="s">
        <v>72</v>
      </c>
      <c r="B19" s="20">
        <v>2848721</v>
      </c>
      <c r="C19" s="20">
        <f t="shared" si="0"/>
        <v>3133593.1</v>
      </c>
    </row>
    <row r="20" spans="1:3" hidden="1" x14ac:dyDescent="0.3">
      <c r="B20" s="22">
        <f>+SUM(B2:B19)</f>
        <v>252351415</v>
      </c>
      <c r="C20" s="22">
        <f>+SUM(C2:C19)</f>
        <v>277586556.50000006</v>
      </c>
    </row>
    <row r="23" spans="1:3" x14ac:dyDescent="0.3">
      <c r="C23" s="20">
        <f>+SUBTOTAL(9,C2:C19)</f>
        <v>47121330.300000004</v>
      </c>
    </row>
  </sheetData>
  <autoFilter xmlns:x14="http://schemas.microsoft.com/office/spreadsheetml/2009/9/main" ref="A1:C20" xr:uid="{579886D2-58C6-4CAD-A1CE-93032A4C75B1}">
    <filterColumn colId="0">
      <mc:AlternateContent xmlns:mc="http://schemas.openxmlformats.org/markup-compatibility/2006">
        <mc:Choice Requires="x14">
          <filters>
            <x14:filter val="ARRENDAMIENTO No. AD001-2022 de 2022. ADICIONAL Y PROOGA N° 001 ARRENDAMIENTO DE BIEN INMUEBLE UBICADO EN EL CORREGIMIENTO DE BAYUNCA, IDENTIFICADO CON LA MANZANA A. LOTE N°3 EN CALLE GRANDE SECTOR ABAJO, QUE SE DESTINARA A LA POLICÍA METROPOLITANA DE CARTAGENA DE INDIAS, PARA EL CUMPLIMIENTO DEL PROYECTO “OPTIMIZACIÓN DE LA INFRAESTRUCTURA Y MOVILIDAD DE LA SEGURIDAD DE LOS ORGANISMOS DE SOCORRO&quot;. DURACION HASTA 31 DE DICIEMBRE DE 2022."/>
            <x14:filter val="ARRENDAMIENTO No. AD001-CTO075-2021 de 2022. Objeto: ADICIONAL Y PRORROGA NO 001-2021 AL CONTRATO 075-2021, CUYO OBJETO ES EL ARRENDAMIENTO DE BIEN INMUEBLE UBICADO EN EL CORREGIMIENTO DE BAYUNCA, IDENTIFICADO CON LA MANZANA A. LOTE N°3 EN CALLE GRANDE SECTOR ABAJO PARA EL FUNCIONAMIENTO DE LA SUBESTACIÓN DE POLICÍA EN LA JURISDICCIÓN DE LA POLICÍA METROPOLITANA DE CARTAGENA DE INDIAS. DURACION HASTA 23 DE ENERO DE 2022."/>
            <x14:filter val="ARRENDAMIENTO No. CO1.PCCNTR.3520279 de 2022. Arrendamiento de bien inmueble ubicado en el corregimiento de Bayunca, identificado con la manzana A. Lote N°3 en calle grande sector Abajo para el funcionamiento de la Subestación de Policía en la jurisdicción de la Policía Metropolitana de Cartagena de Indias para el cumplimiento del proyecto “OPTIMIZACIÓN DE LA INFRAESTRUCTURA Y MOVILIDAD DE LA SEGURIDAD DE LOS ORGANISMOS DE SOCORRO”. DURACION ONCE 11 MESES."/>
          </filters>
        </mc:Choice>
        <mc:Fallback>
          <customFilters>
            <customFilter val=""/>
            <customFilter operator="notEqual" val=" "/>
          </customFilters>
        </mc:Fallback>
      </mc:AlternateContent>
    </filterColumn>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750E4-626F-476B-845A-44B64A021D3F}">
  <dimension ref="A2:M15"/>
  <sheetViews>
    <sheetView topLeftCell="A4" workbookViewId="0">
      <selection activeCell="F20" sqref="F20"/>
    </sheetView>
  </sheetViews>
  <sheetFormatPr baseColWidth="10" defaultColWidth="10.77734375" defaultRowHeight="14.4" x14ac:dyDescent="0.3"/>
  <cols>
    <col min="1" max="1" width="16" customWidth="1"/>
    <col min="2" max="2" width="12.5546875" customWidth="1"/>
    <col min="3" max="3" width="17.109375" bestFit="1" customWidth="1"/>
    <col min="4" max="4" width="17.6640625" customWidth="1"/>
    <col min="5" max="5" width="16.77734375" bestFit="1" customWidth="1"/>
  </cols>
  <sheetData>
    <row r="2" spans="1:13" s="23" customFormat="1" ht="28.8" x14ac:dyDescent="0.3">
      <c r="A2" s="24" t="s">
        <v>83</v>
      </c>
      <c r="B2" s="24" t="s">
        <v>84</v>
      </c>
      <c r="C2" s="25" t="s">
        <v>78</v>
      </c>
      <c r="D2" s="25" t="s">
        <v>79</v>
      </c>
      <c r="E2" s="25" t="s">
        <v>80</v>
      </c>
    </row>
    <row r="3" spans="1:13" x14ac:dyDescent="0.3">
      <c r="A3" s="1" t="s">
        <v>77</v>
      </c>
      <c r="B3" s="27" t="s">
        <v>76</v>
      </c>
      <c r="C3" s="26">
        <v>3484941816</v>
      </c>
      <c r="D3" s="26">
        <v>522741272</v>
      </c>
      <c r="E3" s="26">
        <v>2962200544</v>
      </c>
    </row>
    <row r="4" spans="1:13" x14ac:dyDescent="0.3">
      <c r="A4" s="1" t="s">
        <v>82</v>
      </c>
      <c r="B4" s="27" t="s">
        <v>85</v>
      </c>
      <c r="C4" s="26">
        <v>4000681498</v>
      </c>
      <c r="D4" s="26">
        <v>600102225</v>
      </c>
      <c r="E4" s="26">
        <v>3400579273</v>
      </c>
    </row>
    <row r="5" spans="1:13" x14ac:dyDescent="0.3">
      <c r="A5" s="1" t="s">
        <v>86</v>
      </c>
      <c r="B5" s="1"/>
      <c r="C5" s="28">
        <f>+C4+C3</f>
        <v>7485623314</v>
      </c>
      <c r="D5" s="31">
        <f>+D4+D3</f>
        <v>1122843497</v>
      </c>
      <c r="E5" s="28">
        <f t="shared" ref="E5" si="0">+E4+E3</f>
        <v>6362779817</v>
      </c>
    </row>
    <row r="7" spans="1:13" x14ac:dyDescent="0.3">
      <c r="A7" t="s">
        <v>81</v>
      </c>
    </row>
    <row r="10" spans="1:13" x14ac:dyDescent="0.3">
      <c r="A10" t="s">
        <v>87</v>
      </c>
      <c r="D10" s="20">
        <v>1210133609</v>
      </c>
    </row>
    <row r="12" spans="1:13" x14ac:dyDescent="0.3">
      <c r="A12" s="29" t="s">
        <v>88</v>
      </c>
      <c r="B12" s="29"/>
      <c r="C12" s="29"/>
      <c r="D12" s="32">
        <f>(D10/3*4)*1.1</f>
        <v>1774862626.5333335</v>
      </c>
    </row>
    <row r="15" spans="1:13" x14ac:dyDescent="0.3">
      <c r="M15" t="s">
        <v>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EF88-941B-4DF7-85E9-D69B46151485}">
  <dimension ref="B2:C6"/>
  <sheetViews>
    <sheetView workbookViewId="0">
      <selection activeCell="H13" sqref="H13"/>
    </sheetView>
  </sheetViews>
  <sheetFormatPr baseColWidth="10" defaultColWidth="10.77734375" defaultRowHeight="14.4" x14ac:dyDescent="0.3"/>
  <cols>
    <col min="2" max="2" width="42.109375" bestFit="1" customWidth="1"/>
    <col min="3" max="3" width="16.77734375" bestFit="1" customWidth="1"/>
  </cols>
  <sheetData>
    <row r="2" spans="2:3" x14ac:dyDescent="0.3">
      <c r="B2" t="s">
        <v>97</v>
      </c>
      <c r="C2" s="20">
        <v>6251396261</v>
      </c>
    </row>
    <row r="3" spans="2:3" x14ac:dyDescent="0.3">
      <c r="B3" t="s">
        <v>98</v>
      </c>
      <c r="C3" s="20">
        <v>223174847</v>
      </c>
    </row>
    <row r="4" spans="2:3" x14ac:dyDescent="0.3">
      <c r="B4" t="s">
        <v>99</v>
      </c>
      <c r="C4" s="20">
        <f>+C2-C3</f>
        <v>6028221414</v>
      </c>
    </row>
    <row r="5" spans="2:3" x14ac:dyDescent="0.3">
      <c r="B5" t="s">
        <v>100</v>
      </c>
      <c r="C5" s="20">
        <f>+C4*0.004</f>
        <v>24112885.655999999</v>
      </c>
    </row>
    <row r="6" spans="2:3" x14ac:dyDescent="0.3">
      <c r="B6" s="29" t="s">
        <v>101</v>
      </c>
      <c r="C6" s="30">
        <f>+C3+C5</f>
        <v>247287732.65599999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39EA-B324-4F77-9AD7-3D5AD4DFAB1B}">
  <sheetPr>
    <pageSetUpPr fitToPage="1"/>
  </sheetPr>
  <dimension ref="A1:M73"/>
  <sheetViews>
    <sheetView tabSelected="1" view="pageBreakPreview" topLeftCell="A10" zoomScale="90" zoomScaleNormal="85" zoomScaleSheetLayoutView="90" workbookViewId="0">
      <selection activeCell="B13" sqref="B13:E13"/>
    </sheetView>
  </sheetViews>
  <sheetFormatPr baseColWidth="10" defaultColWidth="10.77734375" defaultRowHeight="14.4" x14ac:dyDescent="0.3"/>
  <cols>
    <col min="1" max="1" width="10.77734375" style="181"/>
    <col min="2" max="2" width="18.5546875" style="181" customWidth="1"/>
    <col min="3" max="3" width="20.88671875" style="181" customWidth="1"/>
    <col min="4" max="4" width="14.5546875" style="181" customWidth="1"/>
    <col min="5" max="5" width="13.21875" style="181" customWidth="1"/>
    <col min="6" max="6" width="22.21875" style="181" customWidth="1"/>
    <col min="7" max="7" width="47.109375" style="181" customWidth="1"/>
    <col min="8" max="8" width="26.88671875" style="181" customWidth="1"/>
    <col min="9" max="9" width="28" style="181" bestFit="1" customWidth="1"/>
    <col min="10" max="10" width="19.33203125" style="181" bestFit="1" customWidth="1"/>
    <col min="11" max="11" width="18.77734375" style="181" bestFit="1" customWidth="1"/>
    <col min="12" max="12" width="17.6640625" style="181" bestFit="1" customWidth="1"/>
    <col min="13" max="13" width="15.88671875" style="181" bestFit="1" customWidth="1"/>
    <col min="14" max="16384" width="10.77734375" style="181"/>
  </cols>
  <sheetData>
    <row r="1" spans="1:13" ht="14.4" customHeight="1" x14ac:dyDescent="0.3">
      <c r="A1" s="489"/>
      <c r="B1" s="490"/>
      <c r="C1" s="505" t="s">
        <v>171</v>
      </c>
      <c r="D1" s="505"/>
      <c r="E1" s="505"/>
      <c r="F1" s="505"/>
      <c r="G1" s="505"/>
      <c r="H1" s="506"/>
      <c r="I1" s="46"/>
    </row>
    <row r="2" spans="1:13" ht="14.4" customHeight="1" x14ac:dyDescent="0.3">
      <c r="A2" s="491"/>
      <c r="B2" s="492"/>
      <c r="C2" s="507"/>
      <c r="D2" s="507"/>
      <c r="E2" s="507"/>
      <c r="F2" s="507"/>
      <c r="G2" s="507"/>
      <c r="H2" s="508"/>
      <c r="I2" s="47"/>
    </row>
    <row r="3" spans="1:13" ht="15" customHeight="1" thickBot="1" x14ac:dyDescent="0.35">
      <c r="A3" s="491"/>
      <c r="B3" s="492"/>
      <c r="C3" s="507"/>
      <c r="D3" s="507"/>
      <c r="E3" s="507"/>
      <c r="F3" s="507"/>
      <c r="G3" s="507"/>
      <c r="H3" s="508"/>
      <c r="I3" s="48"/>
    </row>
    <row r="4" spans="1:13" ht="14.4" customHeight="1" x14ac:dyDescent="0.3">
      <c r="A4" s="491"/>
      <c r="B4" s="492"/>
      <c r="C4" s="507"/>
      <c r="D4" s="507"/>
      <c r="E4" s="507"/>
      <c r="F4" s="507"/>
      <c r="G4" s="507"/>
      <c r="H4" s="508"/>
      <c r="I4" s="495">
        <f>+I10+I26+I42+I52</f>
        <v>21719345003.998711</v>
      </c>
    </row>
    <row r="5" spans="1:13" ht="14.4" customHeight="1" x14ac:dyDescent="0.3">
      <c r="A5" s="491"/>
      <c r="B5" s="492"/>
      <c r="C5" s="507"/>
      <c r="D5" s="507"/>
      <c r="E5" s="507"/>
      <c r="F5" s="507"/>
      <c r="G5" s="507"/>
      <c r="H5" s="508"/>
      <c r="I5" s="496"/>
    </row>
    <row r="6" spans="1:13" ht="15" customHeight="1" thickBot="1" x14ac:dyDescent="0.35">
      <c r="A6" s="493"/>
      <c r="B6" s="494"/>
      <c r="C6" s="509" t="s">
        <v>251</v>
      </c>
      <c r="D6" s="509"/>
      <c r="E6" s="509"/>
      <c r="F6" s="197">
        <v>45317</v>
      </c>
      <c r="G6" s="198"/>
      <c r="H6" s="199"/>
      <c r="I6" s="497"/>
    </row>
    <row r="7" spans="1:13" ht="30" customHeight="1" thickBot="1" x14ac:dyDescent="0.35">
      <c r="A7" s="243" t="s">
        <v>22</v>
      </c>
      <c r="B7" s="498" t="s">
        <v>102</v>
      </c>
      <c r="C7" s="499"/>
      <c r="D7" s="499"/>
      <c r="E7" s="500"/>
      <c r="F7" s="13" t="s">
        <v>113</v>
      </c>
      <c r="G7" s="14" t="s">
        <v>115</v>
      </c>
      <c r="H7" s="200" t="s">
        <v>114</v>
      </c>
      <c r="I7" s="201" t="s">
        <v>23</v>
      </c>
    </row>
    <row r="8" spans="1:13" ht="16.2" thickBot="1" x14ac:dyDescent="0.35">
      <c r="A8" s="501" t="s">
        <v>116</v>
      </c>
      <c r="B8" s="502"/>
      <c r="C8" s="502"/>
      <c r="D8" s="441"/>
      <c r="E8" s="441"/>
      <c r="F8" s="441"/>
      <c r="G8" s="441"/>
      <c r="H8" s="503"/>
      <c r="I8" s="504">
        <f>+I10</f>
        <v>12228083171.999994</v>
      </c>
    </row>
    <row r="9" spans="1:13" ht="19.8" thickBot="1" x14ac:dyDescent="0.35">
      <c r="A9" s="440" t="s">
        <v>24</v>
      </c>
      <c r="B9" s="441"/>
      <c r="C9" s="202">
        <v>44496</v>
      </c>
      <c r="D9" s="441" t="s">
        <v>25</v>
      </c>
      <c r="E9" s="441"/>
      <c r="F9" s="202">
        <v>44561</v>
      </c>
      <c r="G9" s="242" t="s">
        <v>26</v>
      </c>
      <c r="H9" s="203">
        <v>2021130010180</v>
      </c>
      <c r="I9" s="439"/>
    </row>
    <row r="10" spans="1:13" ht="39" customHeight="1" thickBot="1" x14ac:dyDescent="0.35">
      <c r="A10" s="204">
        <v>1</v>
      </c>
      <c r="B10" s="459" t="s">
        <v>27</v>
      </c>
      <c r="C10" s="459"/>
      <c r="D10" s="459"/>
      <c r="E10" s="459"/>
      <c r="F10" s="459"/>
      <c r="G10" s="459"/>
      <c r="H10" s="459"/>
      <c r="I10" s="205">
        <f>+I11</f>
        <v>12228083171.999994</v>
      </c>
      <c r="K10" s="181" t="s">
        <v>7</v>
      </c>
      <c r="L10" s="182" t="s">
        <v>177</v>
      </c>
      <c r="M10" s="181" t="s">
        <v>178</v>
      </c>
    </row>
    <row r="11" spans="1:13" ht="74.400000000000006" customHeight="1" x14ac:dyDescent="0.3">
      <c r="A11" s="239" t="s">
        <v>28</v>
      </c>
      <c r="B11" s="487" t="s">
        <v>205</v>
      </c>
      <c r="C11" s="487"/>
      <c r="D11" s="487"/>
      <c r="E11" s="487"/>
      <c r="F11" s="49">
        <f>4137123725.00122+1362876274.99878</f>
        <v>5500000000</v>
      </c>
      <c r="G11" s="206" t="s">
        <v>7</v>
      </c>
      <c r="H11" s="240">
        <f>+F11</f>
        <v>5500000000</v>
      </c>
      <c r="I11" s="510">
        <f>SUM(H11:H23)</f>
        <v>12228083171.999994</v>
      </c>
      <c r="K11" s="182">
        <v>10524833160</v>
      </c>
      <c r="L11" s="182">
        <v>1701536846</v>
      </c>
      <c r="M11" s="182">
        <v>1713166</v>
      </c>
    </row>
    <row r="12" spans="1:13" ht="32.25" customHeight="1" x14ac:dyDescent="0.3">
      <c r="A12" s="244" t="s">
        <v>192</v>
      </c>
      <c r="B12" s="451" t="s">
        <v>29</v>
      </c>
      <c r="C12" s="451"/>
      <c r="D12" s="451"/>
      <c r="E12" s="451"/>
      <c r="F12" s="15">
        <f>339000000+61000000</f>
        <v>400000000</v>
      </c>
      <c r="G12" s="179" t="s">
        <v>7</v>
      </c>
      <c r="H12" s="180">
        <f>+F12</f>
        <v>400000000</v>
      </c>
      <c r="I12" s="511"/>
      <c r="K12" s="182">
        <f>+F11+F12+F13+F14</f>
        <v>8620833159.9999962</v>
      </c>
      <c r="L12" s="182">
        <f>+F15+F16+F18+F19</f>
        <v>1504048534.2443635</v>
      </c>
      <c r="M12" s="183">
        <f>+F17</f>
        <v>1713166</v>
      </c>
    </row>
    <row r="13" spans="1:13" ht="78.599999999999994" customHeight="1" x14ac:dyDescent="0.3">
      <c r="A13" s="239" t="s">
        <v>30</v>
      </c>
      <c r="B13" s="427" t="s">
        <v>240</v>
      </c>
      <c r="C13" s="428"/>
      <c r="D13" s="428"/>
      <c r="E13" s="429"/>
      <c r="F13" s="15">
        <v>2500000000</v>
      </c>
      <c r="G13" s="206" t="s">
        <v>7</v>
      </c>
      <c r="H13" s="180">
        <f>+F13</f>
        <v>2500000000</v>
      </c>
      <c r="I13" s="511"/>
      <c r="K13" s="182">
        <f>+K11-K12</f>
        <v>1904000000.0000038</v>
      </c>
      <c r="L13" s="182">
        <f t="shared" ref="L13:M13" si="0">+L11-L12</f>
        <v>197488311.75563645</v>
      </c>
      <c r="M13" s="182">
        <f t="shared" si="0"/>
        <v>0</v>
      </c>
    </row>
    <row r="14" spans="1:13" ht="39.6" customHeight="1" x14ac:dyDescent="0.3">
      <c r="A14" s="432" t="s">
        <v>193</v>
      </c>
      <c r="B14" s="445" t="s">
        <v>206</v>
      </c>
      <c r="C14" s="446"/>
      <c r="D14" s="446"/>
      <c r="E14" s="447"/>
      <c r="F14" s="207">
        <f>902511688.244366-681678528.24437</f>
        <v>220833159.99999607</v>
      </c>
      <c r="G14" s="179" t="s">
        <v>7</v>
      </c>
      <c r="H14" s="466">
        <f>+F14+F15</f>
        <v>287339810.24435967</v>
      </c>
      <c r="I14" s="511"/>
      <c r="J14" s="181">
        <v>287339810.24000001</v>
      </c>
      <c r="L14" s="182"/>
    </row>
    <row r="15" spans="1:13" ht="33" customHeight="1" x14ac:dyDescent="0.3">
      <c r="A15" s="433"/>
      <c r="B15" s="448"/>
      <c r="C15" s="449"/>
      <c r="D15" s="449"/>
      <c r="E15" s="450"/>
      <c r="F15" s="207">
        <f>100000000-33493349.7556364</f>
        <v>66506650.244363599</v>
      </c>
      <c r="G15" s="179" t="s">
        <v>177</v>
      </c>
      <c r="H15" s="467"/>
      <c r="I15" s="511"/>
      <c r="K15" s="181">
        <v>12228083172</v>
      </c>
    </row>
    <row r="16" spans="1:13" ht="46.8" customHeight="1" x14ac:dyDescent="0.3">
      <c r="A16" s="432" t="s">
        <v>194</v>
      </c>
      <c r="B16" s="445" t="s">
        <v>270</v>
      </c>
      <c r="C16" s="446"/>
      <c r="D16" s="446"/>
      <c r="E16" s="447"/>
      <c r="F16" s="207">
        <f>1074926834+300000000</f>
        <v>1374926834</v>
      </c>
      <c r="G16" s="179" t="s">
        <v>177</v>
      </c>
      <c r="H16" s="466">
        <f>F16+F17</f>
        <v>1376640000</v>
      </c>
      <c r="I16" s="511"/>
      <c r="M16" s="181">
        <v>44100000</v>
      </c>
    </row>
    <row r="17" spans="1:13" ht="50.25" customHeight="1" x14ac:dyDescent="0.3">
      <c r="A17" s="433"/>
      <c r="B17" s="448"/>
      <c r="C17" s="449"/>
      <c r="D17" s="449"/>
      <c r="E17" s="450"/>
      <c r="F17" s="207">
        <v>1713166</v>
      </c>
      <c r="G17" s="179" t="s">
        <v>178</v>
      </c>
      <c r="H17" s="467"/>
      <c r="I17" s="511"/>
      <c r="K17" s="182">
        <f>+F16+F17</f>
        <v>1376640000</v>
      </c>
      <c r="M17" s="182"/>
    </row>
    <row r="18" spans="1:13" ht="75" customHeight="1" x14ac:dyDescent="0.3">
      <c r="A18" s="244" t="s">
        <v>195</v>
      </c>
      <c r="B18" s="427" t="s">
        <v>248</v>
      </c>
      <c r="C18" s="428"/>
      <c r="D18" s="428"/>
      <c r="E18" s="429"/>
      <c r="F18" s="207">
        <v>18515050</v>
      </c>
      <c r="G18" s="179" t="s">
        <v>177</v>
      </c>
      <c r="H18" s="180">
        <f>+'PERSONAL 123 2024'!F6</f>
        <v>18515050</v>
      </c>
      <c r="I18" s="511"/>
      <c r="M18" s="181">
        <f>1600000000*1.19</f>
        <v>1904000000</v>
      </c>
    </row>
    <row r="19" spans="1:13" ht="37.5" customHeight="1" x14ac:dyDescent="0.3">
      <c r="A19" s="239" t="s">
        <v>196</v>
      </c>
      <c r="B19" s="451" t="s">
        <v>104</v>
      </c>
      <c r="C19" s="451"/>
      <c r="D19" s="451"/>
      <c r="E19" s="451"/>
      <c r="F19" s="207">
        <f>10606650.2443636+33493349.7556364</f>
        <v>44100000</v>
      </c>
      <c r="G19" s="179" t="s">
        <v>177</v>
      </c>
      <c r="H19" s="180">
        <f>+F19</f>
        <v>44100000</v>
      </c>
      <c r="I19" s="511"/>
      <c r="K19" s="183">
        <f>+SUM(F11:F19)</f>
        <v>10126594860.24436</v>
      </c>
      <c r="L19" s="182">
        <f>+I11-K19</f>
        <v>2101488311.7556343</v>
      </c>
    </row>
    <row r="20" spans="1:13" ht="42.6" customHeight="1" x14ac:dyDescent="0.3">
      <c r="A20" s="239" t="s">
        <v>221</v>
      </c>
      <c r="B20" s="451" t="s">
        <v>222</v>
      </c>
      <c r="C20" s="451"/>
      <c r="D20" s="451"/>
      <c r="E20" s="451"/>
      <c r="F20" s="207">
        <v>100000000</v>
      </c>
      <c r="G20" s="179" t="s">
        <v>177</v>
      </c>
      <c r="H20" s="180">
        <f>+F20</f>
        <v>100000000</v>
      </c>
      <c r="I20" s="511"/>
      <c r="K20" s="183"/>
      <c r="L20" s="182"/>
    </row>
    <row r="21" spans="1:13" ht="42.6" customHeight="1" x14ac:dyDescent="0.3">
      <c r="A21" s="244" t="s">
        <v>234</v>
      </c>
      <c r="B21" s="451" t="s">
        <v>262</v>
      </c>
      <c r="C21" s="451"/>
      <c r="D21" s="451"/>
      <c r="E21" s="451"/>
      <c r="F21" s="207">
        <f>3722321471.75563-2500000000+681678528.24437-200000000</f>
        <v>1704000000</v>
      </c>
      <c r="G21" s="179" t="s">
        <v>7</v>
      </c>
      <c r="H21" s="180">
        <f>+F21</f>
        <v>1704000000</v>
      </c>
      <c r="I21" s="511"/>
      <c r="J21" s="181">
        <v>1904000000</v>
      </c>
      <c r="K21" s="183"/>
      <c r="L21" s="182"/>
    </row>
    <row r="22" spans="1:13" ht="42.6" customHeight="1" x14ac:dyDescent="0.3">
      <c r="A22" s="239" t="s">
        <v>237</v>
      </c>
      <c r="B22" s="427" t="s">
        <v>249</v>
      </c>
      <c r="C22" s="428"/>
      <c r="D22" s="428"/>
      <c r="E22" s="429"/>
      <c r="F22" s="207">
        <v>97488311.75563401</v>
      </c>
      <c r="G22" s="179" t="s">
        <v>177</v>
      </c>
      <c r="H22" s="180">
        <f>+F22</f>
        <v>97488311.75563401</v>
      </c>
      <c r="I22" s="511"/>
      <c r="K22" s="183"/>
      <c r="L22" s="182"/>
    </row>
    <row r="23" spans="1:13" ht="42.6" customHeight="1" thickBot="1" x14ac:dyDescent="0.35">
      <c r="A23" s="225" t="s">
        <v>261</v>
      </c>
      <c r="B23" s="488" t="s">
        <v>260</v>
      </c>
      <c r="C23" s="488"/>
      <c r="D23" s="488"/>
      <c r="E23" s="488"/>
      <c r="F23" s="249">
        <v>200000000</v>
      </c>
      <c r="G23" s="250" t="s">
        <v>7</v>
      </c>
      <c r="H23" s="251">
        <v>200000000</v>
      </c>
      <c r="I23" s="512"/>
      <c r="K23" s="183"/>
      <c r="L23" s="182"/>
    </row>
    <row r="24" spans="1:13" ht="19.8" thickBot="1" x14ac:dyDescent="0.35">
      <c r="A24" s="516" t="s">
        <v>31</v>
      </c>
      <c r="B24" s="517"/>
      <c r="C24" s="517"/>
      <c r="D24" s="482"/>
      <c r="E24" s="482"/>
      <c r="F24" s="482"/>
      <c r="G24" s="482"/>
      <c r="H24" s="483"/>
      <c r="I24" s="430">
        <f>+I26</f>
        <v>5868093188</v>
      </c>
    </row>
    <row r="25" spans="1:13" ht="27.75" customHeight="1" thickBot="1" x14ac:dyDescent="0.35">
      <c r="A25" s="440" t="s">
        <v>24</v>
      </c>
      <c r="B25" s="441"/>
      <c r="C25" s="202">
        <v>44497</v>
      </c>
      <c r="D25" s="440" t="s">
        <v>25</v>
      </c>
      <c r="E25" s="441"/>
      <c r="F25" s="202">
        <v>44561</v>
      </c>
      <c r="G25" s="242" t="s">
        <v>26</v>
      </c>
      <c r="H25" s="203">
        <v>2021130010192</v>
      </c>
      <c r="I25" s="431"/>
    </row>
    <row r="26" spans="1:13" ht="49.5" customHeight="1" thickBot="1" x14ac:dyDescent="0.35">
      <c r="A26" s="209">
        <v>2</v>
      </c>
      <c r="B26" s="484" t="s">
        <v>32</v>
      </c>
      <c r="C26" s="485"/>
      <c r="D26" s="485"/>
      <c r="E26" s="485"/>
      <c r="F26" s="485"/>
      <c r="G26" s="485"/>
      <c r="H26" s="486"/>
      <c r="I26" s="210">
        <f>+I27</f>
        <v>5868093188</v>
      </c>
      <c r="K26" s="182" t="s">
        <v>7</v>
      </c>
      <c r="L26" s="181" t="s">
        <v>177</v>
      </c>
      <c r="M26" s="181" t="s">
        <v>179</v>
      </c>
    </row>
    <row r="27" spans="1:13" ht="36" customHeight="1" x14ac:dyDescent="0.3">
      <c r="A27" s="472" t="s">
        <v>33</v>
      </c>
      <c r="B27" s="473" t="s">
        <v>34</v>
      </c>
      <c r="C27" s="474"/>
      <c r="D27" s="474"/>
      <c r="E27" s="475"/>
      <c r="F27" s="211">
        <v>311503499.81999999</v>
      </c>
      <c r="G27" s="206" t="s">
        <v>7</v>
      </c>
      <c r="H27" s="476">
        <f>+F27+F28</f>
        <v>374000000</v>
      </c>
      <c r="I27" s="513">
        <f>+SUM(H27:H39)</f>
        <v>5868093188</v>
      </c>
      <c r="K27" s="182">
        <v>4209933265</v>
      </c>
      <c r="L27" s="182">
        <v>944308622</v>
      </c>
      <c r="M27" s="182">
        <v>713851301</v>
      </c>
    </row>
    <row r="28" spans="1:13" ht="36" customHeight="1" x14ac:dyDescent="0.3">
      <c r="A28" s="433"/>
      <c r="B28" s="448"/>
      <c r="C28" s="449"/>
      <c r="D28" s="449"/>
      <c r="E28" s="450"/>
      <c r="F28" s="211">
        <v>62496500.18</v>
      </c>
      <c r="G28" s="206" t="s">
        <v>177</v>
      </c>
      <c r="H28" s="477"/>
      <c r="I28" s="514"/>
      <c r="K28" s="182"/>
      <c r="L28" s="182"/>
      <c r="M28" s="182"/>
    </row>
    <row r="29" spans="1:13" ht="28.5" customHeight="1" x14ac:dyDescent="0.3">
      <c r="A29" s="244" t="s">
        <v>35</v>
      </c>
      <c r="B29" s="451" t="s">
        <v>36</v>
      </c>
      <c r="C29" s="451"/>
      <c r="D29" s="451"/>
      <c r="E29" s="451"/>
      <c r="F29" s="212">
        <v>67800000</v>
      </c>
      <c r="G29" s="179" t="s">
        <v>7</v>
      </c>
      <c r="H29" s="213">
        <f>60000000*1.13</f>
        <v>67800000</v>
      </c>
      <c r="I29" s="514"/>
      <c r="K29" s="182" t="e">
        <f>+K27-F27-F29-F30-F31-#REF!</f>
        <v>#REF!</v>
      </c>
      <c r="L29" s="182">
        <f>+L27-F32</f>
        <v>754021901.38600004</v>
      </c>
    </row>
    <row r="30" spans="1:13" ht="30.6" customHeight="1" x14ac:dyDescent="0.3">
      <c r="A30" s="244" t="s">
        <v>103</v>
      </c>
      <c r="B30" s="451" t="s">
        <v>38</v>
      </c>
      <c r="C30" s="451"/>
      <c r="D30" s="451"/>
      <c r="E30" s="451"/>
      <c r="F30" s="212">
        <v>294883854.19</v>
      </c>
      <c r="G30" s="179" t="s">
        <v>7</v>
      </c>
      <c r="H30" s="213">
        <f>+'POAI PROYECTADO 2023'!H47*1.13</f>
        <v>294883854.19</v>
      </c>
      <c r="I30" s="514"/>
      <c r="L30" s="182">
        <f>+L29+M27</f>
        <v>1467873202.3860002</v>
      </c>
    </row>
    <row r="31" spans="1:13" ht="44.25" customHeight="1" x14ac:dyDescent="0.3">
      <c r="A31" s="244" t="s">
        <v>37</v>
      </c>
      <c r="B31" s="451" t="s">
        <v>40</v>
      </c>
      <c r="C31" s="451"/>
      <c r="D31" s="451"/>
      <c r="E31" s="451"/>
      <c r="F31" s="212">
        <v>38529131.784000002</v>
      </c>
      <c r="G31" s="179" t="s">
        <v>7</v>
      </c>
      <c r="H31" s="213">
        <f>+'POAI PROYECTADO 2023'!H48*1.13</f>
        <v>38529131.784000002</v>
      </c>
      <c r="I31" s="514"/>
    </row>
    <row r="32" spans="1:13" ht="98.4" customHeight="1" x14ac:dyDescent="0.3">
      <c r="A32" s="244" t="s">
        <v>39</v>
      </c>
      <c r="B32" s="427" t="s">
        <v>273</v>
      </c>
      <c r="C32" s="428"/>
      <c r="D32" s="428"/>
      <c r="E32" s="429"/>
      <c r="F32" s="212">
        <f>252783220.794-62496500.18</f>
        <v>190286720.61399999</v>
      </c>
      <c r="G32" s="179" t="s">
        <v>177</v>
      </c>
      <c r="H32" s="161">
        <f>F32</f>
        <v>190286720.61399999</v>
      </c>
      <c r="I32" s="514"/>
      <c r="K32" s="182"/>
    </row>
    <row r="33" spans="1:12" ht="36.6" customHeight="1" x14ac:dyDescent="0.3">
      <c r="A33" s="478" t="s">
        <v>197</v>
      </c>
      <c r="B33" s="451" t="s">
        <v>247</v>
      </c>
      <c r="C33" s="451"/>
      <c r="D33" s="451"/>
      <c r="E33" s="451"/>
      <c r="F33" s="185">
        <v>691525401.20599997</v>
      </c>
      <c r="G33" s="179" t="s">
        <v>177</v>
      </c>
      <c r="H33" s="479">
        <f>+F33+F34</f>
        <v>1405376702.2059999</v>
      </c>
      <c r="I33" s="514"/>
    </row>
    <row r="34" spans="1:12" ht="35.4" customHeight="1" x14ac:dyDescent="0.3">
      <c r="A34" s="478"/>
      <c r="B34" s="451"/>
      <c r="C34" s="451"/>
      <c r="D34" s="451"/>
      <c r="E34" s="451"/>
      <c r="F34" s="185">
        <v>713851301</v>
      </c>
      <c r="G34" s="179" t="s">
        <v>179</v>
      </c>
      <c r="H34" s="479"/>
      <c r="I34" s="514"/>
    </row>
    <row r="35" spans="1:12" ht="96" customHeight="1" x14ac:dyDescent="0.3">
      <c r="A35" s="244" t="s">
        <v>218</v>
      </c>
      <c r="B35" s="451" t="s">
        <v>271</v>
      </c>
      <c r="C35" s="451"/>
      <c r="D35" s="451"/>
      <c r="E35" s="451"/>
      <c r="F35" s="185">
        <f>1100000000+150000000+358271915.20472-300000000-301800000</f>
        <v>1006471915.20472</v>
      </c>
      <c r="G35" s="179" t="s">
        <v>7</v>
      </c>
      <c r="H35" s="245">
        <f>+F35</f>
        <v>1006471915.20472</v>
      </c>
      <c r="I35" s="514"/>
      <c r="J35" s="182">
        <f>+F35-1250000000</f>
        <v>-243528084.79527998</v>
      </c>
    </row>
    <row r="36" spans="1:12" ht="61.35" customHeight="1" x14ac:dyDescent="0.3">
      <c r="A36" s="244" t="s">
        <v>219</v>
      </c>
      <c r="B36" s="451" t="s">
        <v>246</v>
      </c>
      <c r="C36" s="451"/>
      <c r="D36" s="451"/>
      <c r="E36" s="451"/>
      <c r="F36" s="185">
        <v>4000000</v>
      </c>
      <c r="G36" s="179" t="s">
        <v>7</v>
      </c>
      <c r="H36" s="245">
        <f>+F36</f>
        <v>4000000</v>
      </c>
      <c r="I36" s="514"/>
    </row>
    <row r="37" spans="1:12" ht="61.35" customHeight="1" x14ac:dyDescent="0.3">
      <c r="A37" s="238" t="s">
        <v>224</v>
      </c>
      <c r="B37" s="480" t="s">
        <v>245</v>
      </c>
      <c r="C37" s="480"/>
      <c r="D37" s="480"/>
      <c r="E37" s="480"/>
      <c r="F37" s="214">
        <v>1884944864.0012801</v>
      </c>
      <c r="G37" s="208" t="s">
        <v>7</v>
      </c>
      <c r="H37" s="215">
        <f>+F37</f>
        <v>1884944864.0012801</v>
      </c>
      <c r="I37" s="514"/>
    </row>
    <row r="38" spans="1:12" ht="61.35" customHeight="1" x14ac:dyDescent="0.3">
      <c r="A38" s="244" t="s">
        <v>259</v>
      </c>
      <c r="B38" s="451" t="s">
        <v>266</v>
      </c>
      <c r="C38" s="451"/>
      <c r="D38" s="451"/>
      <c r="E38" s="451"/>
      <c r="F38" s="185">
        <v>300000000</v>
      </c>
      <c r="G38" s="179" t="s">
        <v>7</v>
      </c>
      <c r="H38" s="245">
        <f>+F38</f>
        <v>300000000</v>
      </c>
      <c r="I38" s="514"/>
    </row>
    <row r="39" spans="1:12" ht="88.8" customHeight="1" thickBot="1" x14ac:dyDescent="0.35">
      <c r="A39" s="196" t="s">
        <v>265</v>
      </c>
      <c r="B39" s="488" t="s">
        <v>267</v>
      </c>
      <c r="C39" s="488"/>
      <c r="D39" s="488"/>
      <c r="E39" s="488"/>
      <c r="F39" s="252">
        <v>301800000</v>
      </c>
      <c r="G39" s="250" t="s">
        <v>7</v>
      </c>
      <c r="H39" s="253">
        <f>+F39</f>
        <v>301800000</v>
      </c>
      <c r="I39" s="515"/>
    </row>
    <row r="40" spans="1:12" ht="19.8" thickBot="1" x14ac:dyDescent="0.35">
      <c r="A40" s="481" t="s">
        <v>42</v>
      </c>
      <c r="B40" s="482"/>
      <c r="C40" s="482"/>
      <c r="D40" s="482"/>
      <c r="E40" s="482"/>
      <c r="F40" s="482"/>
      <c r="G40" s="482"/>
      <c r="H40" s="483"/>
      <c r="I40" s="430">
        <f>+I42</f>
        <v>2929325473.9987202</v>
      </c>
    </row>
    <row r="41" spans="1:12" ht="19.8" thickBot="1" x14ac:dyDescent="0.35">
      <c r="A41" s="440" t="s">
        <v>24</v>
      </c>
      <c r="B41" s="441"/>
      <c r="C41" s="202">
        <v>44551</v>
      </c>
      <c r="D41" s="440" t="s">
        <v>25</v>
      </c>
      <c r="E41" s="441"/>
      <c r="F41" s="202">
        <v>44561</v>
      </c>
      <c r="G41" s="242" t="s">
        <v>26</v>
      </c>
      <c r="H41" s="203">
        <v>2021130010279</v>
      </c>
      <c r="I41" s="431"/>
    </row>
    <row r="42" spans="1:12" ht="19.8" thickBot="1" x14ac:dyDescent="0.35">
      <c r="A42" s="216">
        <v>3</v>
      </c>
      <c r="B42" s="454" t="s">
        <v>43</v>
      </c>
      <c r="C42" s="454"/>
      <c r="D42" s="454"/>
      <c r="E42" s="454"/>
      <c r="F42" s="454"/>
      <c r="G42" s="454"/>
      <c r="H42" s="455"/>
      <c r="I42" s="217">
        <f>I43</f>
        <v>2929325473.9987202</v>
      </c>
      <c r="J42" s="182">
        <v>2929325474</v>
      </c>
      <c r="K42" s="182" t="s">
        <v>177</v>
      </c>
      <c r="L42" s="181" t="s">
        <v>176</v>
      </c>
    </row>
    <row r="43" spans="1:12" ht="29.25" customHeight="1" x14ac:dyDescent="0.3">
      <c r="A43" s="218" t="s">
        <v>198</v>
      </c>
      <c r="B43" s="456" t="s">
        <v>44</v>
      </c>
      <c r="C43" s="456"/>
      <c r="D43" s="456"/>
      <c r="E43" s="456"/>
      <c r="F43" s="62">
        <f>+'GASTOS DE PLAYA AZUL'!C6</f>
        <v>120000000</v>
      </c>
      <c r="G43" s="61" t="s">
        <v>176</v>
      </c>
      <c r="H43" s="219">
        <f>+F43</f>
        <v>120000000</v>
      </c>
      <c r="I43" s="452">
        <f>+SUM(H43:H49)</f>
        <v>2929325473.9987202</v>
      </c>
      <c r="J43" s="182">
        <v>2929325474</v>
      </c>
      <c r="K43" s="182">
        <v>385893745</v>
      </c>
      <c r="L43" s="182">
        <v>2543431729</v>
      </c>
    </row>
    <row r="44" spans="1:12" ht="27.6" x14ac:dyDescent="0.3">
      <c r="A44" s="244" t="s">
        <v>199</v>
      </c>
      <c r="B44" s="451" t="s">
        <v>242</v>
      </c>
      <c r="C44" s="451"/>
      <c r="D44" s="451"/>
      <c r="E44" s="451"/>
      <c r="F44" s="15">
        <v>206835199.99999997</v>
      </c>
      <c r="G44" s="36" t="s">
        <v>176</v>
      </c>
      <c r="H44" s="220">
        <f>+F44</f>
        <v>206835199.99999997</v>
      </c>
      <c r="I44" s="453"/>
    </row>
    <row r="45" spans="1:12" ht="67.349999999999994" customHeight="1" x14ac:dyDescent="0.3">
      <c r="A45" s="239" t="s">
        <v>200</v>
      </c>
      <c r="B45" s="451" t="s">
        <v>243</v>
      </c>
      <c r="C45" s="451"/>
      <c r="D45" s="451"/>
      <c r="E45" s="451"/>
      <c r="F45" s="15">
        <v>200000000</v>
      </c>
      <c r="G45" s="36" t="s">
        <v>176</v>
      </c>
      <c r="H45" s="221">
        <f>+F45</f>
        <v>200000000</v>
      </c>
      <c r="I45" s="453"/>
      <c r="K45" s="182">
        <f>+K43-F48</f>
        <v>0</v>
      </c>
      <c r="L45" s="182" t="e">
        <f>L43-F43-F44-F45-#REF!</f>
        <v>#REF!</v>
      </c>
    </row>
    <row r="46" spans="1:12" ht="90" customHeight="1" x14ac:dyDescent="0.3">
      <c r="A46" s="222" t="s">
        <v>201</v>
      </c>
      <c r="B46" s="427" t="s">
        <v>244</v>
      </c>
      <c r="C46" s="428"/>
      <c r="D46" s="428"/>
      <c r="E46" s="429"/>
      <c r="F46" s="15">
        <v>510000000</v>
      </c>
      <c r="G46" s="36" t="s">
        <v>176</v>
      </c>
      <c r="H46" s="221">
        <f>+F46</f>
        <v>510000000</v>
      </c>
      <c r="I46" s="453"/>
      <c r="J46" s="182">
        <f>+I43-J42</f>
        <v>-1.2798309326171875E-3</v>
      </c>
      <c r="K46" s="182"/>
      <c r="L46" s="182"/>
    </row>
    <row r="47" spans="1:12" ht="41.1" customHeight="1" x14ac:dyDescent="0.3">
      <c r="A47" s="432" t="s">
        <v>202</v>
      </c>
      <c r="B47" s="445" t="s">
        <v>191</v>
      </c>
      <c r="C47" s="446"/>
      <c r="D47" s="446"/>
      <c r="E47" s="447"/>
      <c r="F47" s="15">
        <f>1306171388-F49+610425140.99872-410000000</f>
        <v>1227161390.9987202</v>
      </c>
      <c r="G47" s="36" t="s">
        <v>176</v>
      </c>
      <c r="H47" s="434">
        <f>+F47+F48</f>
        <v>1613055135.9987202</v>
      </c>
      <c r="I47" s="453"/>
      <c r="K47" s="182"/>
    </row>
    <row r="48" spans="1:12" ht="45.6" customHeight="1" x14ac:dyDescent="0.3">
      <c r="A48" s="433"/>
      <c r="B48" s="448"/>
      <c r="C48" s="449"/>
      <c r="D48" s="449"/>
      <c r="E48" s="450"/>
      <c r="F48" s="52">
        <f>106458607+F49</f>
        <v>385893745</v>
      </c>
      <c r="G48" s="50" t="s">
        <v>177</v>
      </c>
      <c r="H48" s="435"/>
      <c r="I48" s="453"/>
      <c r="J48" s="182"/>
    </row>
    <row r="49" spans="1:11" ht="48.9" customHeight="1" x14ac:dyDescent="0.3">
      <c r="A49" s="244" t="s">
        <v>203</v>
      </c>
      <c r="B49" s="451" t="s">
        <v>46</v>
      </c>
      <c r="C49" s="451"/>
      <c r="D49" s="451"/>
      <c r="E49" s="451"/>
      <c r="F49" s="15">
        <v>279435138</v>
      </c>
      <c r="G49" s="36" t="s">
        <v>176</v>
      </c>
      <c r="H49" s="223">
        <f>+F49</f>
        <v>279435138</v>
      </c>
      <c r="I49" s="453"/>
    </row>
    <row r="50" spans="1:11" ht="19.8" thickBot="1" x14ac:dyDescent="0.35">
      <c r="A50" s="442" t="s">
        <v>47</v>
      </c>
      <c r="B50" s="443"/>
      <c r="C50" s="443"/>
      <c r="D50" s="443"/>
      <c r="E50" s="443"/>
      <c r="F50" s="443"/>
      <c r="G50" s="443"/>
      <c r="H50" s="444"/>
      <c r="I50" s="438">
        <f>+I52</f>
        <v>693843170</v>
      </c>
    </row>
    <row r="51" spans="1:11" ht="33" customHeight="1" thickBot="1" x14ac:dyDescent="0.35">
      <c r="A51" s="440" t="s">
        <v>24</v>
      </c>
      <c r="B51" s="441"/>
      <c r="C51" s="202">
        <v>44495</v>
      </c>
      <c r="D51" s="440" t="s">
        <v>25</v>
      </c>
      <c r="E51" s="441"/>
      <c r="F51" s="202">
        <v>44565</v>
      </c>
      <c r="G51" s="241" t="s">
        <v>26</v>
      </c>
      <c r="H51" s="226">
        <v>2021130010176</v>
      </c>
      <c r="I51" s="439"/>
    </row>
    <row r="52" spans="1:11" ht="19.8" thickBot="1" x14ac:dyDescent="0.35">
      <c r="A52" s="204">
        <v>4</v>
      </c>
      <c r="B52" s="459" t="s">
        <v>48</v>
      </c>
      <c r="C52" s="459"/>
      <c r="D52" s="459"/>
      <c r="E52" s="459"/>
      <c r="F52" s="459"/>
      <c r="G52" s="459"/>
      <c r="H52" s="460"/>
      <c r="I52" s="210">
        <f>+I53</f>
        <v>693843170</v>
      </c>
    </row>
    <row r="53" spans="1:11" ht="71.400000000000006" customHeight="1" x14ac:dyDescent="0.3">
      <c r="A53" s="244" t="s">
        <v>49</v>
      </c>
      <c r="B53" s="424" t="s">
        <v>274</v>
      </c>
      <c r="C53" s="425"/>
      <c r="D53" s="425"/>
      <c r="E53" s="426"/>
      <c r="F53" s="15">
        <v>150000000</v>
      </c>
      <c r="G53" s="36" t="s">
        <v>7</v>
      </c>
      <c r="H53" s="180">
        <f>+F53</f>
        <v>150000000</v>
      </c>
      <c r="I53" s="461">
        <f>+H53+H54+H56</f>
        <v>693843170</v>
      </c>
      <c r="J53" s="264">
        <v>0.2161871824723734</v>
      </c>
      <c r="K53" s="195"/>
    </row>
    <row r="54" spans="1:11" ht="36.9" customHeight="1" x14ac:dyDescent="0.3">
      <c r="A54" s="432" t="s">
        <v>204</v>
      </c>
      <c r="B54" s="468" t="s">
        <v>258</v>
      </c>
      <c r="C54" s="469"/>
      <c r="D54" s="469"/>
      <c r="E54" s="470"/>
      <c r="F54" s="15">
        <v>282882462</v>
      </c>
      <c r="G54" s="36" t="s">
        <v>7</v>
      </c>
      <c r="H54" s="466">
        <f>+F54+F55</f>
        <v>300000000</v>
      </c>
      <c r="I54" s="461"/>
      <c r="J54" s="264"/>
      <c r="K54" s="195"/>
    </row>
    <row r="55" spans="1:11" ht="26.25" customHeight="1" x14ac:dyDescent="0.3">
      <c r="A55" s="433"/>
      <c r="B55" s="419"/>
      <c r="C55" s="420"/>
      <c r="D55" s="420"/>
      <c r="E55" s="421"/>
      <c r="F55" s="15">
        <f>300000000-F54</f>
        <v>17117538</v>
      </c>
      <c r="G55" s="36" t="s">
        <v>177</v>
      </c>
      <c r="H55" s="467"/>
      <c r="I55" s="461"/>
      <c r="J55" s="264"/>
      <c r="K55" s="195"/>
    </row>
    <row r="56" spans="1:11" ht="90" customHeight="1" thickBot="1" x14ac:dyDescent="0.35">
      <c r="A56" s="225" t="s">
        <v>233</v>
      </c>
      <c r="B56" s="463" t="s">
        <v>272</v>
      </c>
      <c r="C56" s="464"/>
      <c r="D56" s="464"/>
      <c r="E56" s="465"/>
      <c r="F56" s="53">
        <v>243843170</v>
      </c>
      <c r="G56" s="54" t="s">
        <v>177</v>
      </c>
      <c r="H56" s="227">
        <f>+F56</f>
        <v>243843170</v>
      </c>
      <c r="I56" s="398"/>
      <c r="J56" s="265"/>
      <c r="K56" s="182" t="e">
        <f>+#REF!+#REF!</f>
        <v>#REF!</v>
      </c>
    </row>
    <row r="57" spans="1:11" ht="39" customHeight="1" x14ac:dyDescent="0.3">
      <c r="A57" s="224"/>
      <c r="B57" s="254"/>
      <c r="C57" s="254"/>
      <c r="D57" s="254"/>
      <c r="E57" s="254"/>
      <c r="F57" s="16"/>
      <c r="G57" s="158"/>
      <c r="H57" s="255"/>
      <c r="I57" s="159"/>
      <c r="K57" s="182"/>
    </row>
    <row r="58" spans="1:11" ht="15.6" x14ac:dyDescent="0.3">
      <c r="A58" s="224"/>
      <c r="B58" s="471"/>
      <c r="C58" s="471"/>
      <c r="D58" s="471"/>
      <c r="E58" s="471"/>
      <c r="F58" s="16"/>
      <c r="G58" s="18"/>
      <c r="H58" s="256"/>
      <c r="I58" s="17"/>
    </row>
    <row r="59" spans="1:11" x14ac:dyDescent="0.3">
      <c r="A59" s="436" t="s">
        <v>213</v>
      </c>
      <c r="B59" s="437"/>
      <c r="C59" s="437"/>
      <c r="D59" s="257"/>
      <c r="E59" s="257"/>
      <c r="F59" s="257" t="s">
        <v>126</v>
      </c>
      <c r="G59" s="258"/>
      <c r="H59" s="259" t="s">
        <v>257</v>
      </c>
      <c r="I59" s="228"/>
    </row>
    <row r="60" spans="1:11" x14ac:dyDescent="0.3">
      <c r="A60" s="436" t="s">
        <v>51</v>
      </c>
      <c r="B60" s="437"/>
      <c r="C60" s="437"/>
      <c r="D60" s="257"/>
      <c r="E60" s="257"/>
      <c r="F60" s="257" t="s">
        <v>52</v>
      </c>
      <c r="G60" s="258"/>
      <c r="H60" s="257" t="s">
        <v>214</v>
      </c>
      <c r="I60" s="228"/>
    </row>
    <row r="61" spans="1:11" x14ac:dyDescent="0.3">
      <c r="A61" s="247"/>
      <c r="B61" s="258"/>
      <c r="C61" s="258"/>
      <c r="D61" s="257"/>
      <c r="E61" s="257"/>
      <c r="F61" s="257"/>
      <c r="G61" s="258"/>
      <c r="H61" s="257"/>
      <c r="I61" s="228"/>
    </row>
    <row r="62" spans="1:11" x14ac:dyDescent="0.3">
      <c r="A62" s="229"/>
      <c r="B62" s="457"/>
      <c r="C62" s="457"/>
      <c r="D62" s="457"/>
      <c r="E62" s="462"/>
      <c r="F62" s="457"/>
      <c r="G62" s="260"/>
      <c r="H62" s="457"/>
      <c r="I62" s="458"/>
    </row>
    <row r="63" spans="1:11" x14ac:dyDescent="0.3">
      <c r="A63" s="230" t="s">
        <v>53</v>
      </c>
      <c r="B63" s="260"/>
      <c r="C63" s="260"/>
      <c r="D63" s="260"/>
      <c r="E63" s="260"/>
      <c r="F63" s="261"/>
      <c r="G63" s="261"/>
      <c r="H63" s="260"/>
      <c r="I63" s="246"/>
    </row>
    <row r="64" spans="1:11" x14ac:dyDescent="0.3">
      <c r="A64" s="231" t="s">
        <v>54</v>
      </c>
      <c r="B64" s="262"/>
      <c r="C64" s="262"/>
      <c r="D64" s="262"/>
      <c r="E64" s="262"/>
      <c r="F64" s="263"/>
      <c r="G64" s="263"/>
      <c r="H64" s="262"/>
      <c r="I64" s="232"/>
    </row>
    <row r="65" spans="1:9" x14ac:dyDescent="0.3">
      <c r="A65" s="231"/>
      <c r="B65" s="262"/>
      <c r="C65" s="262"/>
      <c r="D65" s="262"/>
      <c r="E65" s="262"/>
      <c r="F65" s="263"/>
      <c r="G65" s="263"/>
      <c r="H65" s="262"/>
      <c r="I65" s="233"/>
    </row>
    <row r="66" spans="1:9" ht="15" thickBot="1" x14ac:dyDescent="0.35">
      <c r="A66" s="234"/>
      <c r="B66" s="235"/>
      <c r="C66" s="235"/>
      <c r="D66" s="235"/>
      <c r="E66" s="235"/>
      <c r="F66" s="236"/>
      <c r="G66" s="236"/>
      <c r="H66" s="235"/>
      <c r="I66" s="237"/>
    </row>
    <row r="67" spans="1:9" x14ac:dyDescent="0.3">
      <c r="F67" s="183"/>
      <c r="G67" s="183"/>
    </row>
    <row r="68" spans="1:9" ht="14.4" customHeight="1" x14ac:dyDescent="0.3">
      <c r="F68" s="183"/>
      <c r="G68" s="183"/>
    </row>
    <row r="69" spans="1:9" x14ac:dyDescent="0.3">
      <c r="F69" s="183"/>
      <c r="G69" s="183"/>
    </row>
    <row r="70" spans="1:9" x14ac:dyDescent="0.3">
      <c r="F70" s="183"/>
      <c r="G70" s="183"/>
    </row>
    <row r="71" spans="1:9" x14ac:dyDescent="0.3">
      <c r="A71" s="181" t="s">
        <v>130</v>
      </c>
      <c r="B71" s="181" t="s">
        <v>135</v>
      </c>
    </row>
    <row r="72" spans="1:9" x14ac:dyDescent="0.3">
      <c r="A72" s="181" t="s">
        <v>131</v>
      </c>
      <c r="B72" s="181" t="s">
        <v>132</v>
      </c>
    </row>
    <row r="73" spans="1:9" x14ac:dyDescent="0.3">
      <c r="A73" s="181" t="s">
        <v>133</v>
      </c>
      <c r="B73" s="181" t="s">
        <v>134</v>
      </c>
    </row>
  </sheetData>
  <mergeCells count="78">
    <mergeCell ref="I11:I23"/>
    <mergeCell ref="B39:E39"/>
    <mergeCell ref="I27:I39"/>
    <mergeCell ref="A14:A15"/>
    <mergeCell ref="B14:E15"/>
    <mergeCell ref="H14:H15"/>
    <mergeCell ref="I24:I25"/>
    <mergeCell ref="A25:B25"/>
    <mergeCell ref="D25:E25"/>
    <mergeCell ref="A16:A17"/>
    <mergeCell ref="B16:E17"/>
    <mergeCell ref="H16:H17"/>
    <mergeCell ref="A24:H24"/>
    <mergeCell ref="B18:E18"/>
    <mergeCell ref="B19:E19"/>
    <mergeCell ref="B20:E20"/>
    <mergeCell ref="A1:B6"/>
    <mergeCell ref="I4:I6"/>
    <mergeCell ref="B7:E7"/>
    <mergeCell ref="A8:H8"/>
    <mergeCell ref="I8:I9"/>
    <mergeCell ref="A9:B9"/>
    <mergeCell ref="D9:E9"/>
    <mergeCell ref="C1:H5"/>
    <mergeCell ref="C6:E6"/>
    <mergeCell ref="B26:H26"/>
    <mergeCell ref="B30:E30"/>
    <mergeCell ref="B33:E34"/>
    <mergeCell ref="B10:H10"/>
    <mergeCell ref="B11:E11"/>
    <mergeCell ref="B12:E12"/>
    <mergeCell ref="B13:E13"/>
    <mergeCell ref="B23:E23"/>
    <mergeCell ref="B22:E22"/>
    <mergeCell ref="B21:E21"/>
    <mergeCell ref="A27:A28"/>
    <mergeCell ref="B27:E28"/>
    <mergeCell ref="H27:H28"/>
    <mergeCell ref="B29:E29"/>
    <mergeCell ref="B45:E45"/>
    <mergeCell ref="B38:E38"/>
    <mergeCell ref="A41:B41"/>
    <mergeCell ref="D41:E41"/>
    <mergeCell ref="B31:E31"/>
    <mergeCell ref="A33:A34"/>
    <mergeCell ref="B32:E32"/>
    <mergeCell ref="B35:E35"/>
    <mergeCell ref="B36:E36"/>
    <mergeCell ref="H33:H34"/>
    <mergeCell ref="B37:E37"/>
    <mergeCell ref="A40:H40"/>
    <mergeCell ref="H62:I62"/>
    <mergeCell ref="B52:H52"/>
    <mergeCell ref="I53:I56"/>
    <mergeCell ref="A60:C60"/>
    <mergeCell ref="B62:D62"/>
    <mergeCell ref="E62:F62"/>
    <mergeCell ref="B53:E53"/>
    <mergeCell ref="B56:E56"/>
    <mergeCell ref="H54:H55"/>
    <mergeCell ref="A54:A55"/>
    <mergeCell ref="B54:E55"/>
    <mergeCell ref="B58:E58"/>
    <mergeCell ref="B46:E46"/>
    <mergeCell ref="I40:I41"/>
    <mergeCell ref="A47:A48"/>
    <mergeCell ref="H47:H48"/>
    <mergeCell ref="A59:C59"/>
    <mergeCell ref="I50:I51"/>
    <mergeCell ref="A51:B51"/>
    <mergeCell ref="D51:E51"/>
    <mergeCell ref="A50:H50"/>
    <mergeCell ref="B47:E48"/>
    <mergeCell ref="B49:E49"/>
    <mergeCell ref="I43:I49"/>
    <mergeCell ref="B44:E44"/>
    <mergeCell ref="B42:H42"/>
    <mergeCell ref="B43:E43"/>
  </mergeCells>
  <phoneticPr fontId="26" type="noConversion"/>
  <printOptions horizontalCentered="1" verticalCentered="1"/>
  <pageMargins left="1.2" right="0.7" top="0.75" bottom="0.75" header="0.3" footer="0.3"/>
  <pageSetup scale="57" fitToHeight="0" orientation="landscape" r:id="rId1"/>
  <rowBreaks count="2" manualBreakCount="2">
    <brk id="23" max="8" man="1"/>
    <brk id="39" max="8" man="1"/>
  </rowBreaks>
  <colBreaks count="1" manualBreakCount="1">
    <brk id="9" max="70"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768F2-84D1-43A4-9AEA-E9E604FF67FC}">
  <dimension ref="A1:F105"/>
  <sheetViews>
    <sheetView topLeftCell="A66" workbookViewId="0">
      <selection activeCell="B80" sqref="B80:C80"/>
    </sheetView>
  </sheetViews>
  <sheetFormatPr baseColWidth="10" defaultColWidth="10.77734375" defaultRowHeight="14.4" x14ac:dyDescent="0.3"/>
  <cols>
    <col min="1" max="1" width="20" style="37" customWidth="1"/>
    <col min="2" max="2" width="40.109375" customWidth="1"/>
    <col min="3" max="3" width="22.21875" bestFit="1" customWidth="1"/>
    <col min="4" max="4" width="19.88671875" customWidth="1"/>
    <col min="5" max="5" width="22.21875" style="57" customWidth="1"/>
    <col min="6" max="6" width="52.5546875" style="42" customWidth="1"/>
    <col min="7" max="7" width="16.44140625" bestFit="1" customWidth="1"/>
  </cols>
  <sheetData>
    <row r="1" spans="1:6" ht="15" thickBot="1" x14ac:dyDescent="0.35">
      <c r="A1" s="168" t="s">
        <v>155</v>
      </c>
      <c r="B1" s="169" t="s">
        <v>157</v>
      </c>
      <c r="C1" s="169" t="s">
        <v>215</v>
      </c>
      <c r="D1" s="170" t="s">
        <v>217</v>
      </c>
      <c r="E1" s="169" t="s">
        <v>151</v>
      </c>
      <c r="F1" s="63"/>
    </row>
    <row r="2" spans="1:6" x14ac:dyDescent="0.3">
      <c r="A2" s="60">
        <v>1.1000000000000001</v>
      </c>
      <c r="B2" s="70" t="s">
        <v>7</v>
      </c>
      <c r="C2" s="62">
        <v>4137123725.0012202</v>
      </c>
      <c r="D2" s="62">
        <v>5500000000</v>
      </c>
      <c r="E2" s="162">
        <f>+D2-C2</f>
        <v>1362876274.9987798</v>
      </c>
      <c r="F2" s="155" t="s">
        <v>216</v>
      </c>
    </row>
    <row r="3" spans="1:6" x14ac:dyDescent="0.3">
      <c r="A3" s="66"/>
      <c r="B3" s="157" t="s">
        <v>86</v>
      </c>
      <c r="C3" s="171">
        <f>+SUM(C2:C2)</f>
        <v>4137123725.0012202</v>
      </c>
      <c r="D3" s="171">
        <f>+SUM(D2:D2)</f>
        <v>5500000000</v>
      </c>
      <c r="E3" s="171">
        <f>+SUM(E2:E2)</f>
        <v>1362876274.9987798</v>
      </c>
      <c r="F3" s="65"/>
    </row>
    <row r="4" spans="1:6" x14ac:dyDescent="0.3">
      <c r="A4" s="66"/>
      <c r="F4" s="65"/>
    </row>
    <row r="5" spans="1:6" x14ac:dyDescent="0.3">
      <c r="A5" s="66">
        <v>1.2</v>
      </c>
      <c r="B5" s="38" t="s">
        <v>7</v>
      </c>
      <c r="C5" s="15">
        <v>400000000</v>
      </c>
      <c r="D5" s="15">
        <v>400000000</v>
      </c>
      <c r="E5" s="15">
        <f>+D5-C5</f>
        <v>0</v>
      </c>
      <c r="F5" s="65" t="s">
        <v>153</v>
      </c>
    </row>
    <row r="6" spans="1:6" x14ac:dyDescent="0.3">
      <c r="A6" s="66"/>
      <c r="B6" s="157" t="s">
        <v>86</v>
      </c>
      <c r="C6" s="171">
        <f>+SUM(C5)</f>
        <v>400000000</v>
      </c>
      <c r="D6" s="171">
        <f>+SUM(D5)</f>
        <v>400000000</v>
      </c>
      <c r="E6" s="171">
        <f>+SUM(E5)</f>
        <v>0</v>
      </c>
      <c r="F6" s="65"/>
    </row>
    <row r="7" spans="1:6" x14ac:dyDescent="0.3">
      <c r="A7" s="66"/>
      <c r="F7" s="65"/>
    </row>
    <row r="8" spans="1:6" x14ac:dyDescent="0.3">
      <c r="A8" s="66">
        <v>1.3</v>
      </c>
      <c r="B8" s="38" t="s">
        <v>7</v>
      </c>
      <c r="C8" s="15">
        <v>5085197746.7544098</v>
      </c>
      <c r="D8" s="15">
        <f>+'POAI PROYECTADO 2024'!F13</f>
        <v>2500000000</v>
      </c>
      <c r="E8" s="43">
        <f>+D8-C8</f>
        <v>-2585197746.7544098</v>
      </c>
      <c r="F8" s="72" t="s">
        <v>235</v>
      </c>
    </row>
    <row r="9" spans="1:6" x14ac:dyDescent="0.3">
      <c r="A9" s="66"/>
      <c r="B9" s="157" t="s">
        <v>86</v>
      </c>
      <c r="C9" s="171">
        <f>+SUM(C8:C8)</f>
        <v>5085197746.7544098</v>
      </c>
      <c r="D9" s="171">
        <f>+SUM(D8:D8)</f>
        <v>2500000000</v>
      </c>
      <c r="E9" s="171">
        <f>+SUM(E8:E8)</f>
        <v>-2585197746.7544098</v>
      </c>
      <c r="F9" s="65"/>
    </row>
    <row r="10" spans="1:6" x14ac:dyDescent="0.3">
      <c r="A10" s="66"/>
      <c r="F10" s="65"/>
    </row>
    <row r="11" spans="1:6" x14ac:dyDescent="0.3">
      <c r="A11" s="66">
        <v>1.4</v>
      </c>
      <c r="B11" s="38" t="s">
        <v>7</v>
      </c>
      <c r="C11" s="15">
        <v>902511688.24436605</v>
      </c>
      <c r="D11" s="15">
        <v>902511688.24436605</v>
      </c>
      <c r="E11" s="15">
        <f>+D11-C11</f>
        <v>0</v>
      </c>
      <c r="F11" s="65"/>
    </row>
    <row r="12" spans="1:6" x14ac:dyDescent="0.3">
      <c r="A12" s="66"/>
      <c r="B12" s="38" t="s">
        <v>177</v>
      </c>
      <c r="C12" s="15">
        <v>597488311.75563395</v>
      </c>
      <c r="D12" s="15">
        <f>+'POAI PROYECTADO 2024'!F15</f>
        <v>66506650.244363599</v>
      </c>
      <c r="E12" s="43">
        <f t="shared" ref="E12:E16" si="0">+D12-C12</f>
        <v>-530981661.51127034</v>
      </c>
      <c r="F12" s="72" t="s">
        <v>250</v>
      </c>
    </row>
    <row r="13" spans="1:6" x14ac:dyDescent="0.3">
      <c r="A13" s="66"/>
      <c r="B13" s="157" t="s">
        <v>86</v>
      </c>
      <c r="C13" s="171">
        <f>+SUM(C11:C12)</f>
        <v>1500000000</v>
      </c>
      <c r="D13" s="171">
        <f>+SUM(D11:D12)</f>
        <v>969018338.4887296</v>
      </c>
      <c r="E13" s="171">
        <f>+SUM(E11:E12)</f>
        <v>-530981661.51127034</v>
      </c>
      <c r="F13" s="65"/>
    </row>
    <row r="14" spans="1:6" x14ac:dyDescent="0.3">
      <c r="A14" s="66"/>
      <c r="F14" s="65"/>
    </row>
    <row r="15" spans="1:6" x14ac:dyDescent="0.3">
      <c r="A15" s="66">
        <v>1.5</v>
      </c>
      <c r="B15" s="38" t="s">
        <v>177</v>
      </c>
      <c r="C15" s="15">
        <v>1074926834</v>
      </c>
      <c r="D15" s="15">
        <f>+'POAI PROYECTADO 2024'!F16</f>
        <v>1374926834</v>
      </c>
      <c r="E15" s="15">
        <f t="shared" si="0"/>
        <v>300000000</v>
      </c>
      <c r="F15" s="73" t="s">
        <v>238</v>
      </c>
    </row>
    <row r="16" spans="1:6" x14ac:dyDescent="0.3">
      <c r="A16" s="66"/>
      <c r="B16" s="38" t="s">
        <v>178</v>
      </c>
      <c r="C16" s="15">
        <v>1713166</v>
      </c>
      <c r="D16" s="15">
        <v>1713166</v>
      </c>
      <c r="E16" s="15">
        <f t="shared" si="0"/>
        <v>0</v>
      </c>
      <c r="F16" s="65"/>
    </row>
    <row r="17" spans="1:6" x14ac:dyDescent="0.3">
      <c r="A17" s="66"/>
      <c r="B17" s="38" t="s">
        <v>154</v>
      </c>
      <c r="C17" s="15">
        <f>+SUM(C15:C16)</f>
        <v>1076640000</v>
      </c>
      <c r="D17" s="15">
        <f>+SUM(D15:D16)</f>
        <v>1376640000</v>
      </c>
      <c r="E17" s="15">
        <f>+SUM(E15:E16)</f>
        <v>300000000</v>
      </c>
      <c r="F17" s="65"/>
    </row>
    <row r="18" spans="1:6" x14ac:dyDescent="0.3">
      <c r="A18" s="66"/>
      <c r="B18" s="157"/>
      <c r="C18" s="16"/>
      <c r="D18" s="16"/>
      <c r="F18" s="65"/>
    </row>
    <row r="19" spans="1:6" x14ac:dyDescent="0.3">
      <c r="A19" s="66">
        <v>1.6</v>
      </c>
      <c r="B19" s="38" t="s">
        <v>177</v>
      </c>
      <c r="C19" s="15">
        <v>18515050</v>
      </c>
      <c r="D19" s="15">
        <v>18515050</v>
      </c>
      <c r="E19" s="15">
        <f>+D19-C19</f>
        <v>0</v>
      </c>
      <c r="F19" s="65" t="s">
        <v>152</v>
      </c>
    </row>
    <row r="20" spans="1:6" x14ac:dyDescent="0.3">
      <c r="A20" s="66"/>
      <c r="B20" s="38" t="s">
        <v>154</v>
      </c>
      <c r="C20" s="15">
        <f>+SUM(C19:C19)</f>
        <v>18515050</v>
      </c>
      <c r="D20" s="15">
        <f>+SUM(D19:D19)</f>
        <v>18515050</v>
      </c>
      <c r="E20" s="15">
        <f>+SUM(E19:E19)</f>
        <v>0</v>
      </c>
      <c r="F20" s="65"/>
    </row>
    <row r="21" spans="1:6" x14ac:dyDescent="0.3">
      <c r="A21" s="66"/>
      <c r="F21" s="65"/>
    </row>
    <row r="22" spans="1:6" x14ac:dyDescent="0.3">
      <c r="A22" s="66">
        <v>1.7</v>
      </c>
      <c r="B22" s="38" t="s">
        <v>177</v>
      </c>
      <c r="C22" s="15">
        <v>10606650.244363636</v>
      </c>
      <c r="D22" s="15">
        <f>+'POAI PROYECTADO 2024'!F19</f>
        <v>44100000</v>
      </c>
      <c r="E22" s="15">
        <f>+D22-C22</f>
        <v>33493349.755636364</v>
      </c>
      <c r="F22" s="73" t="s">
        <v>238</v>
      </c>
    </row>
    <row r="23" spans="1:6" x14ac:dyDescent="0.3">
      <c r="A23" s="66"/>
      <c r="B23" s="38" t="s">
        <v>154</v>
      </c>
      <c r="C23" s="15">
        <f>+SUM(C22:C22)</f>
        <v>10606650.244363636</v>
      </c>
      <c r="D23" s="15">
        <f>+SUM(D22:D22)</f>
        <v>44100000</v>
      </c>
      <c r="E23" s="58"/>
      <c r="F23" s="65"/>
    </row>
    <row r="24" spans="1:6" x14ac:dyDescent="0.3">
      <c r="A24" s="66"/>
      <c r="B24" s="157"/>
      <c r="C24" s="16"/>
      <c r="D24" s="16"/>
      <c r="F24" s="65"/>
    </row>
    <row r="25" spans="1:6" x14ac:dyDescent="0.3">
      <c r="A25" s="66">
        <v>1.8</v>
      </c>
      <c r="B25" s="38" t="s">
        <v>7</v>
      </c>
      <c r="C25" s="15">
        <v>0</v>
      </c>
      <c r="D25" s="15">
        <v>100000000</v>
      </c>
      <c r="E25" s="44">
        <f>+D25-C25</f>
        <v>100000000</v>
      </c>
      <c r="F25" s="73" t="s">
        <v>223</v>
      </c>
    </row>
    <row r="26" spans="1:6" x14ac:dyDescent="0.3">
      <c r="A26" s="137" t="s">
        <v>164</v>
      </c>
      <c r="B26" s="38" t="s">
        <v>154</v>
      </c>
      <c r="C26" s="15">
        <f>+SUM(C25:C25)</f>
        <v>0</v>
      </c>
      <c r="D26" s="15">
        <f>+SUM(D25:D25)</f>
        <v>100000000</v>
      </c>
      <c r="E26" s="59">
        <f>+E25</f>
        <v>100000000</v>
      </c>
      <c r="F26" s="65"/>
    </row>
    <row r="27" spans="1:6" x14ac:dyDescent="0.3">
      <c r="A27" s="66"/>
      <c r="B27" s="157"/>
      <c r="C27" s="16"/>
      <c r="D27" s="16"/>
      <c r="E27" s="167"/>
      <c r="F27" s="65"/>
    </row>
    <row r="28" spans="1:6" x14ac:dyDescent="0.3">
      <c r="A28" s="66" t="s">
        <v>234</v>
      </c>
      <c r="B28" s="38" t="s">
        <v>7</v>
      </c>
      <c r="C28" s="15">
        <v>0</v>
      </c>
      <c r="D28" s="15">
        <f>+'POAI PROYECTADO 2024'!F21</f>
        <v>1704000000</v>
      </c>
      <c r="E28" s="44">
        <f>+D28-C28</f>
        <v>1704000000</v>
      </c>
      <c r="F28" s="73" t="s">
        <v>263</v>
      </c>
    </row>
    <row r="29" spans="1:6" x14ac:dyDescent="0.3">
      <c r="A29" s="137" t="s">
        <v>164</v>
      </c>
      <c r="B29" s="38" t="s">
        <v>154</v>
      </c>
      <c r="C29" s="15">
        <f>+SUM(C28:C28)</f>
        <v>0</v>
      </c>
      <c r="D29" s="15">
        <f>+SUM(D28:D28)</f>
        <v>1704000000</v>
      </c>
      <c r="E29" s="59">
        <f>+E28</f>
        <v>1704000000</v>
      </c>
      <c r="F29" s="73" t="s">
        <v>239</v>
      </c>
    </row>
    <row r="30" spans="1:6" x14ac:dyDescent="0.3">
      <c r="A30" s="64"/>
      <c r="B30" s="157"/>
      <c r="C30" s="16"/>
      <c r="D30" s="16"/>
      <c r="E30" s="167"/>
      <c r="F30" s="65"/>
    </row>
    <row r="31" spans="1:6" x14ac:dyDescent="0.3">
      <c r="A31" s="66" t="s">
        <v>237</v>
      </c>
      <c r="B31" s="38" t="s">
        <v>177</v>
      </c>
      <c r="C31" s="15">
        <v>0</v>
      </c>
      <c r="D31" s="15">
        <v>97488311.75563401</v>
      </c>
      <c r="E31" s="44">
        <f>+D31-C31</f>
        <v>97488311.75563401</v>
      </c>
      <c r="F31" s="73" t="s">
        <v>223</v>
      </c>
    </row>
    <row r="32" spans="1:6" x14ac:dyDescent="0.3">
      <c r="A32" s="137" t="s">
        <v>164</v>
      </c>
      <c r="B32" s="38" t="s">
        <v>154</v>
      </c>
      <c r="C32" s="15">
        <f>+SUM(C31:C31)</f>
        <v>0</v>
      </c>
      <c r="D32" s="15">
        <f>+SUM(D31:D31)</f>
        <v>97488311.75563401</v>
      </c>
      <c r="E32" s="59">
        <f>+E31</f>
        <v>97488311.75563401</v>
      </c>
      <c r="F32" s="65"/>
    </row>
    <row r="33" spans="1:6" x14ac:dyDescent="0.3">
      <c r="A33" s="137"/>
      <c r="B33" s="178"/>
      <c r="C33" s="16"/>
      <c r="D33" s="16"/>
      <c r="E33" s="184"/>
      <c r="F33" s="65"/>
    </row>
    <row r="34" spans="1:6" x14ac:dyDescent="0.3">
      <c r="A34" s="66" t="s">
        <v>261</v>
      </c>
      <c r="B34" s="38" t="s">
        <v>7</v>
      </c>
      <c r="C34" s="15">
        <v>0</v>
      </c>
      <c r="D34" s="15">
        <f>+'POAI PROYECTADO 2024'!F23</f>
        <v>200000000</v>
      </c>
      <c r="E34" s="44">
        <f>+D34-C34</f>
        <v>200000000</v>
      </c>
      <c r="F34" s="73" t="s">
        <v>264</v>
      </c>
    </row>
    <row r="35" spans="1:6" x14ac:dyDescent="0.3">
      <c r="A35" s="137" t="s">
        <v>164</v>
      </c>
      <c r="B35" s="38" t="s">
        <v>154</v>
      </c>
      <c r="C35" s="15">
        <f>+SUM(C34:C34)</f>
        <v>0</v>
      </c>
      <c r="D35" s="15">
        <f>+SUM(D34:D34)</f>
        <v>200000000</v>
      </c>
      <c r="E35" s="59">
        <f>+E34</f>
        <v>200000000</v>
      </c>
      <c r="F35" s="186"/>
    </row>
    <row r="36" spans="1:6" x14ac:dyDescent="0.3">
      <c r="A36" s="64"/>
      <c r="B36" s="157"/>
      <c r="C36" s="16"/>
      <c r="D36" s="16"/>
      <c r="E36" s="167"/>
      <c r="F36" s="65"/>
    </row>
    <row r="37" spans="1:6" ht="15" thickBot="1" x14ac:dyDescent="0.35">
      <c r="A37" s="67"/>
      <c r="B37" s="172"/>
      <c r="C37" s="172"/>
      <c r="D37" s="172"/>
      <c r="E37" s="173"/>
      <c r="F37" s="69"/>
    </row>
    <row r="38" spans="1:6" ht="15" thickBot="1" x14ac:dyDescent="0.35">
      <c r="A38" s="60">
        <v>2.1</v>
      </c>
      <c r="B38" s="70" t="s">
        <v>7</v>
      </c>
      <c r="C38" s="62">
        <v>311503499.81999999</v>
      </c>
      <c r="D38" s="62">
        <v>311503499.81999999</v>
      </c>
      <c r="E38" s="74">
        <f>+D38-C38</f>
        <v>0</v>
      </c>
      <c r="F38" s="63"/>
    </row>
    <row r="39" spans="1:6" x14ac:dyDescent="0.3">
      <c r="A39" s="66"/>
      <c r="B39" s="86"/>
      <c r="C39" s="49">
        <v>0</v>
      </c>
      <c r="D39" s="62">
        <f>+'POAI PROYECTADO 2024'!F28</f>
        <v>62496500.18</v>
      </c>
      <c r="E39" s="174">
        <f>+D39-C39</f>
        <v>62496500.18</v>
      </c>
      <c r="F39" s="73" t="s">
        <v>241</v>
      </c>
    </row>
    <row r="40" spans="1:6" x14ac:dyDescent="0.3">
      <c r="A40" s="66"/>
      <c r="B40" s="38" t="s">
        <v>154</v>
      </c>
      <c r="C40" s="15">
        <f>C38+C39</f>
        <v>311503499.81999999</v>
      </c>
      <c r="D40" s="15">
        <f>D38+D39</f>
        <v>374000000</v>
      </c>
      <c r="E40" s="15">
        <f t="shared" ref="E40" si="1">E38</f>
        <v>0</v>
      </c>
      <c r="F40" s="65"/>
    </row>
    <row r="41" spans="1:6" x14ac:dyDescent="0.3">
      <c r="A41" s="66"/>
      <c r="F41" s="65"/>
    </row>
    <row r="42" spans="1:6" x14ac:dyDescent="0.3">
      <c r="A42" s="66">
        <v>2.2000000000000002</v>
      </c>
      <c r="B42" s="38" t="s">
        <v>7</v>
      </c>
      <c r="C42" s="41">
        <v>67800000</v>
      </c>
      <c r="D42" s="41">
        <v>67800000</v>
      </c>
      <c r="E42" s="15">
        <f>+D42-C42</f>
        <v>0</v>
      </c>
      <c r="F42" s="65" t="s">
        <v>153</v>
      </c>
    </row>
    <row r="43" spans="1:6" x14ac:dyDescent="0.3">
      <c r="A43" s="66"/>
      <c r="B43" s="38" t="s">
        <v>154</v>
      </c>
      <c r="C43" s="15">
        <f>C42</f>
        <v>67800000</v>
      </c>
      <c r="D43" s="15">
        <f>D42</f>
        <v>67800000</v>
      </c>
      <c r="E43" s="15">
        <f>+D43-C43</f>
        <v>0</v>
      </c>
      <c r="F43" s="65"/>
    </row>
    <row r="44" spans="1:6" x14ac:dyDescent="0.3">
      <c r="A44" s="66"/>
      <c r="F44" s="65"/>
    </row>
    <row r="45" spans="1:6" x14ac:dyDescent="0.3">
      <c r="A45" s="66">
        <v>2.2999999999999998</v>
      </c>
      <c r="B45" s="38" t="s">
        <v>7</v>
      </c>
      <c r="C45" s="41">
        <v>294883854.19</v>
      </c>
      <c r="D45" s="41">
        <v>294883854.19</v>
      </c>
      <c r="E45" s="41">
        <f>+D45-C45</f>
        <v>0</v>
      </c>
      <c r="F45" s="65" t="s">
        <v>152</v>
      </c>
    </row>
    <row r="46" spans="1:6" x14ac:dyDescent="0.3">
      <c r="A46" s="66"/>
      <c r="B46" s="38" t="s">
        <v>154</v>
      </c>
      <c r="C46" s="15">
        <f t="shared" ref="C46:D46" si="2">C45</f>
        <v>294883854.19</v>
      </c>
      <c r="D46" s="15">
        <f t="shared" si="2"/>
        <v>294883854.19</v>
      </c>
      <c r="E46" s="15">
        <f>+D46-C46</f>
        <v>0</v>
      </c>
      <c r="F46" s="65"/>
    </row>
    <row r="47" spans="1:6" x14ac:dyDescent="0.3">
      <c r="A47" s="66"/>
      <c r="F47" s="65"/>
    </row>
    <row r="48" spans="1:6" x14ac:dyDescent="0.3">
      <c r="A48" s="66">
        <v>2.4</v>
      </c>
      <c r="B48" s="38" t="s">
        <v>7</v>
      </c>
      <c r="C48" s="41">
        <v>38529131.784000002</v>
      </c>
      <c r="D48" s="41">
        <v>38529131.784000002</v>
      </c>
      <c r="E48" s="15">
        <f>E47</f>
        <v>0</v>
      </c>
      <c r="F48" s="65" t="s">
        <v>153</v>
      </c>
    </row>
    <row r="49" spans="1:6" x14ac:dyDescent="0.3">
      <c r="A49" s="66"/>
      <c r="B49" s="38" t="s">
        <v>154</v>
      </c>
      <c r="C49" s="15">
        <f t="shared" ref="C49:D49" si="3">C48</f>
        <v>38529131.784000002</v>
      </c>
      <c r="D49" s="15">
        <f t="shared" si="3"/>
        <v>38529131.784000002</v>
      </c>
      <c r="E49" s="15">
        <f>+D49-C49</f>
        <v>0</v>
      </c>
      <c r="F49" s="65"/>
    </row>
    <row r="50" spans="1:6" x14ac:dyDescent="0.3">
      <c r="A50" s="66"/>
      <c r="F50" s="65"/>
    </row>
    <row r="51" spans="1:6" ht="19.350000000000001" customHeight="1" x14ac:dyDescent="0.3">
      <c r="A51" s="66">
        <v>2.5</v>
      </c>
      <c r="B51" s="38" t="s">
        <v>7</v>
      </c>
      <c r="C51" s="41">
        <v>3497216779.2059999</v>
      </c>
      <c r="D51" s="41">
        <v>0</v>
      </c>
      <c r="E51" s="156">
        <f>+D51-C51</f>
        <v>-3497216779.2059999</v>
      </c>
      <c r="F51" s="518" t="s">
        <v>225</v>
      </c>
    </row>
    <row r="52" spans="1:6" ht="19.350000000000001" customHeight="1" x14ac:dyDescent="0.3">
      <c r="A52" s="66"/>
      <c r="B52" s="38" t="s">
        <v>177</v>
      </c>
      <c r="C52" s="41">
        <v>252783220.794</v>
      </c>
      <c r="D52" s="41">
        <v>252783220.794</v>
      </c>
      <c r="E52" s="41">
        <f t="shared" ref="E52" si="4">+D52-C52</f>
        <v>0</v>
      </c>
      <c r="F52" s="518"/>
    </row>
    <row r="53" spans="1:6" ht="19.350000000000001" customHeight="1" x14ac:dyDescent="0.3">
      <c r="A53" s="66"/>
      <c r="B53" s="38" t="s">
        <v>154</v>
      </c>
      <c r="C53" s="15">
        <f>SUM(C51:C52)</f>
        <v>3750000000</v>
      </c>
      <c r="D53" s="15">
        <f>SUM(D51:D52)</f>
        <v>252783220.794</v>
      </c>
      <c r="E53" s="15">
        <f>SUM(E51:E52)</f>
        <v>-3497216779.2059999</v>
      </c>
      <c r="F53" s="518"/>
    </row>
    <row r="54" spans="1:6" x14ac:dyDescent="0.3">
      <c r="A54" s="66"/>
      <c r="F54" s="65"/>
    </row>
    <row r="55" spans="1:6" x14ac:dyDescent="0.3">
      <c r="A55" s="66">
        <v>2.6</v>
      </c>
      <c r="B55" s="38" t="s">
        <v>177</v>
      </c>
      <c r="C55" s="41">
        <v>691525401.20599997</v>
      </c>
      <c r="D55" s="41">
        <v>691525401.20599997</v>
      </c>
      <c r="E55" s="41">
        <f>+D55-C55</f>
        <v>0</v>
      </c>
      <c r="F55" s="519" t="s">
        <v>229</v>
      </c>
    </row>
    <row r="56" spans="1:6" ht="27.6" x14ac:dyDescent="0.3">
      <c r="A56" s="66"/>
      <c r="B56" s="38" t="s">
        <v>179</v>
      </c>
      <c r="C56" s="41">
        <v>713851301</v>
      </c>
      <c r="D56" s="41">
        <v>713851301</v>
      </c>
      <c r="E56" s="41">
        <f t="shared" ref="E56" si="5">+D56-C56</f>
        <v>0</v>
      </c>
      <c r="F56" s="519"/>
    </row>
    <row r="57" spans="1:6" x14ac:dyDescent="0.3">
      <c r="A57" s="66"/>
      <c r="B57" s="38" t="s">
        <v>154</v>
      </c>
      <c r="C57" s="15">
        <f>SUM(C55:C56)</f>
        <v>1405376702.2059999</v>
      </c>
      <c r="D57" s="15">
        <f>SUM(D55:D56)</f>
        <v>1405376702.2059999</v>
      </c>
      <c r="E57" s="15">
        <f>SUM(E55:E56)</f>
        <v>0</v>
      </c>
      <c r="F57" s="519"/>
    </row>
    <row r="58" spans="1:6" x14ac:dyDescent="0.3">
      <c r="A58" s="66"/>
      <c r="F58" s="65"/>
    </row>
    <row r="59" spans="1:6" x14ac:dyDescent="0.3">
      <c r="A59" s="66">
        <v>2.7</v>
      </c>
      <c r="B59" s="38" t="s">
        <v>7</v>
      </c>
      <c r="C59" s="41">
        <v>0</v>
      </c>
      <c r="D59" s="41">
        <f>+'POAI PROYECTADO 2024'!F35</f>
        <v>1006471915.20472</v>
      </c>
      <c r="E59" s="15">
        <f>+D59-C59</f>
        <v>1006471915.20472</v>
      </c>
      <c r="F59" s="73" t="s">
        <v>220</v>
      </c>
    </row>
    <row r="60" spans="1:6" x14ac:dyDescent="0.3">
      <c r="A60" s="137" t="s">
        <v>164</v>
      </c>
      <c r="B60" s="38" t="s">
        <v>154</v>
      </c>
      <c r="C60" s="15">
        <f t="shared" ref="C60:D60" si="6">C59</f>
        <v>0</v>
      </c>
      <c r="D60" s="15">
        <f t="shared" si="6"/>
        <v>1006471915.20472</v>
      </c>
      <c r="E60" s="15">
        <f>+D60-C60</f>
        <v>1006471915.20472</v>
      </c>
      <c r="F60" s="65"/>
    </row>
    <row r="61" spans="1:6" x14ac:dyDescent="0.3">
      <c r="A61" s="66"/>
      <c r="F61" s="65"/>
    </row>
    <row r="62" spans="1:6" x14ac:dyDescent="0.3">
      <c r="A62" s="66">
        <v>2.8</v>
      </c>
      <c r="B62" s="38" t="s">
        <v>7</v>
      </c>
      <c r="C62" s="41">
        <v>0</v>
      </c>
      <c r="D62" s="41">
        <v>4000000</v>
      </c>
      <c r="E62" s="15">
        <f>+D62-C62</f>
        <v>4000000</v>
      </c>
      <c r="F62" s="73" t="s">
        <v>220</v>
      </c>
    </row>
    <row r="63" spans="1:6" x14ac:dyDescent="0.3">
      <c r="A63" s="137" t="s">
        <v>164</v>
      </c>
      <c r="B63" s="38" t="s">
        <v>154</v>
      </c>
      <c r="C63" s="15">
        <f>C62</f>
        <v>0</v>
      </c>
      <c r="D63" s="15">
        <f>D62</f>
        <v>4000000</v>
      </c>
      <c r="E63" s="15">
        <f>+D63-C63</f>
        <v>4000000</v>
      </c>
      <c r="F63" s="65"/>
    </row>
    <row r="64" spans="1:6" x14ac:dyDescent="0.3">
      <c r="A64" s="66"/>
      <c r="B64" s="157"/>
      <c r="C64" s="16"/>
      <c r="D64" s="16"/>
      <c r="E64" s="16"/>
      <c r="F64" s="65"/>
    </row>
    <row r="65" spans="1:6" x14ac:dyDescent="0.3">
      <c r="A65" s="66">
        <v>2.9</v>
      </c>
      <c r="B65" s="38" t="s">
        <v>7</v>
      </c>
      <c r="C65" s="41">
        <v>0</v>
      </c>
      <c r="D65" s="41">
        <v>1884944864.0012801</v>
      </c>
      <c r="E65" s="15">
        <f>+D65-C65</f>
        <v>1884944864.0012801</v>
      </c>
      <c r="F65" s="73" t="s">
        <v>220</v>
      </c>
    </row>
    <row r="66" spans="1:6" x14ac:dyDescent="0.3">
      <c r="A66" s="137" t="s">
        <v>164</v>
      </c>
      <c r="B66" s="38" t="s">
        <v>154</v>
      </c>
      <c r="C66" s="15">
        <f>C65</f>
        <v>0</v>
      </c>
      <c r="D66" s="15">
        <f>D65</f>
        <v>1884944864.0012801</v>
      </c>
      <c r="E66" s="15">
        <f>+D66-C66</f>
        <v>1884944864.0012801</v>
      </c>
      <c r="F66" s="65"/>
    </row>
    <row r="67" spans="1:6" x14ac:dyDescent="0.3">
      <c r="A67" s="187"/>
      <c r="B67" s="178"/>
      <c r="C67" s="16"/>
      <c r="D67" s="16"/>
      <c r="E67" s="16"/>
      <c r="F67" s="188"/>
    </row>
    <row r="68" spans="1:6" x14ac:dyDescent="0.3">
      <c r="A68" s="66">
        <v>2.1</v>
      </c>
      <c r="B68" s="38" t="s">
        <v>7</v>
      </c>
      <c r="C68" s="41">
        <v>0</v>
      </c>
      <c r="D68" s="41">
        <f>+'POAI PROYECTADO 2024'!F38</f>
        <v>300000000</v>
      </c>
      <c r="E68" s="15">
        <f>+D68-C68</f>
        <v>300000000</v>
      </c>
      <c r="F68" s="73" t="s">
        <v>220</v>
      </c>
    </row>
    <row r="69" spans="1:6" x14ac:dyDescent="0.3">
      <c r="A69" s="137" t="s">
        <v>164</v>
      </c>
      <c r="B69" s="38" t="s">
        <v>154</v>
      </c>
      <c r="C69" s="15">
        <f t="shared" ref="C69:D69" si="7">C68</f>
        <v>0</v>
      </c>
      <c r="D69" s="15">
        <f t="shared" si="7"/>
        <v>300000000</v>
      </c>
      <c r="E69" s="15">
        <f>+D69-C69</f>
        <v>300000000</v>
      </c>
      <c r="F69" s="65"/>
    </row>
    <row r="70" spans="1:6" ht="15" thickBot="1" x14ac:dyDescent="0.35"/>
    <row r="71" spans="1:6" ht="27.6" x14ac:dyDescent="0.3">
      <c r="A71" s="60">
        <v>3.1</v>
      </c>
      <c r="B71" s="70" t="s">
        <v>176</v>
      </c>
      <c r="C71" s="71">
        <v>120000000</v>
      </c>
      <c r="D71" s="71">
        <f>+'POAI PROYECTADO 2024'!F43</f>
        <v>120000000</v>
      </c>
      <c r="E71" s="71">
        <f>+D71-C71</f>
        <v>0</v>
      </c>
      <c r="F71" s="248" t="s">
        <v>153</v>
      </c>
    </row>
    <row r="72" spans="1:6" x14ac:dyDescent="0.3">
      <c r="A72" s="66"/>
      <c r="B72" s="38" t="s">
        <v>154</v>
      </c>
      <c r="C72" s="15">
        <f>C71</f>
        <v>120000000</v>
      </c>
      <c r="D72" s="15">
        <f>D71</f>
        <v>120000000</v>
      </c>
      <c r="E72" s="15">
        <f>+D72-C72</f>
        <v>0</v>
      </c>
      <c r="F72" s="65"/>
    </row>
    <row r="73" spans="1:6" x14ac:dyDescent="0.3">
      <c r="A73" s="66"/>
      <c r="F73" s="65"/>
    </row>
    <row r="74" spans="1:6" ht="27.6" x14ac:dyDescent="0.3">
      <c r="A74" s="66">
        <v>3.2</v>
      </c>
      <c r="B74" s="36" t="s">
        <v>176</v>
      </c>
      <c r="C74" s="15">
        <v>206835199.99999997</v>
      </c>
      <c r="D74" s="15">
        <f>+'POAI PROYECTADO 2024'!F44</f>
        <v>206835199.99999997</v>
      </c>
      <c r="E74" s="45">
        <f>+D74-C74</f>
        <v>0</v>
      </c>
      <c r="F74" s="65" t="s">
        <v>153</v>
      </c>
    </row>
    <row r="75" spans="1:6" x14ac:dyDescent="0.3">
      <c r="A75" s="66"/>
      <c r="B75" s="38" t="s">
        <v>154</v>
      </c>
      <c r="C75" s="15">
        <f>C74</f>
        <v>206835199.99999997</v>
      </c>
      <c r="D75" s="15">
        <f>D74</f>
        <v>206835199.99999997</v>
      </c>
      <c r="E75" s="15">
        <f>+D75-C75</f>
        <v>0</v>
      </c>
      <c r="F75" s="65"/>
    </row>
    <row r="76" spans="1:6" x14ac:dyDescent="0.3">
      <c r="A76" s="66"/>
      <c r="F76" s="65"/>
    </row>
    <row r="77" spans="1:6" ht="27.6" x14ac:dyDescent="0.3">
      <c r="A77" s="66">
        <v>3.3</v>
      </c>
      <c r="B77" s="36" t="s">
        <v>176</v>
      </c>
      <c r="C77" s="15">
        <v>0</v>
      </c>
      <c r="D77" s="15">
        <f>+'POAI PROYECTADO 2024'!F45</f>
        <v>200000000</v>
      </c>
      <c r="E77" s="45">
        <f>+D77-C77</f>
        <v>200000000</v>
      </c>
      <c r="F77" s="519" t="s">
        <v>226</v>
      </c>
    </row>
    <row r="78" spans="1:6" x14ac:dyDescent="0.3">
      <c r="A78" s="137" t="s">
        <v>164</v>
      </c>
      <c r="B78" s="38" t="s">
        <v>154</v>
      </c>
      <c r="C78" s="15">
        <f>SUM(C77:C77)</f>
        <v>0</v>
      </c>
      <c r="D78" s="15">
        <f>SUM(D77:D77)</f>
        <v>200000000</v>
      </c>
      <c r="E78" s="15">
        <f>SUM(E77:E77)</f>
        <v>200000000</v>
      </c>
      <c r="F78" s="519"/>
    </row>
    <row r="79" spans="1:6" x14ac:dyDescent="0.3">
      <c r="A79" s="66"/>
      <c r="F79" s="65"/>
    </row>
    <row r="80" spans="1:6" x14ac:dyDescent="0.3">
      <c r="F80" s="65"/>
    </row>
    <row r="81" spans="1:6" ht="28.8" x14ac:dyDescent="0.3">
      <c r="A81" s="66">
        <v>3.4</v>
      </c>
      <c r="B81" s="36" t="s">
        <v>176</v>
      </c>
      <c r="C81" s="15">
        <v>0</v>
      </c>
      <c r="D81" s="15">
        <f>+'POAI PROYECTADO 2024'!F46</f>
        <v>510000000</v>
      </c>
      <c r="E81" s="45">
        <f>+D81-C81</f>
        <v>510000000</v>
      </c>
      <c r="F81" s="160" t="s">
        <v>227</v>
      </c>
    </row>
    <row r="82" spans="1:6" x14ac:dyDescent="0.3">
      <c r="A82" s="137" t="s">
        <v>164</v>
      </c>
      <c r="B82" s="38" t="s">
        <v>154</v>
      </c>
      <c r="C82" s="15">
        <f>C81</f>
        <v>0</v>
      </c>
      <c r="D82" s="15">
        <f>D81</f>
        <v>510000000</v>
      </c>
      <c r="E82" s="15">
        <f>+D82-C82</f>
        <v>510000000</v>
      </c>
      <c r="F82" s="65" t="s">
        <v>228</v>
      </c>
    </row>
    <row r="83" spans="1:6" x14ac:dyDescent="0.3">
      <c r="A83" s="66"/>
      <c r="F83" s="65"/>
    </row>
    <row r="84" spans="1:6" ht="27.6" x14ac:dyDescent="0.3">
      <c r="A84" s="66">
        <v>3.5</v>
      </c>
      <c r="B84" s="36" t="s">
        <v>176</v>
      </c>
      <c r="C84" s="15">
        <v>1026736250</v>
      </c>
      <c r="D84" s="15">
        <v>1227161390.9987202</v>
      </c>
      <c r="E84" s="15">
        <f>+D84-C84</f>
        <v>200425140.99872017</v>
      </c>
      <c r="F84" s="73" t="s">
        <v>230</v>
      </c>
    </row>
    <row r="85" spans="1:6" x14ac:dyDescent="0.3">
      <c r="A85" s="66"/>
      <c r="B85" s="36" t="s">
        <v>177</v>
      </c>
      <c r="C85" s="15">
        <v>385893745</v>
      </c>
      <c r="D85" s="15">
        <v>385893745</v>
      </c>
      <c r="E85" s="15">
        <f t="shared" ref="E85" si="8">+D85-C85</f>
        <v>0</v>
      </c>
      <c r="F85" s="65" t="s">
        <v>153</v>
      </c>
    </row>
    <row r="86" spans="1:6" x14ac:dyDescent="0.3">
      <c r="A86" s="66"/>
      <c r="B86" s="38" t="s">
        <v>154</v>
      </c>
      <c r="C86" s="15">
        <f>SUM(C84:C85)</f>
        <v>1412629995</v>
      </c>
      <c r="D86" s="15">
        <f>SUM(D84:D85)</f>
        <v>1613055135.9987202</v>
      </c>
      <c r="E86" s="15">
        <f>SUM(E84:E85)</f>
        <v>200425140.99872017</v>
      </c>
      <c r="F86" s="65"/>
    </row>
    <row r="87" spans="1:6" x14ac:dyDescent="0.3">
      <c r="A87" s="66"/>
      <c r="F87" s="65"/>
    </row>
    <row r="88" spans="1:6" ht="27.6" x14ac:dyDescent="0.3">
      <c r="A88" s="66">
        <v>3.6</v>
      </c>
      <c r="B88" s="36" t="s">
        <v>9</v>
      </c>
      <c r="C88" s="15">
        <v>279435138</v>
      </c>
      <c r="D88" s="15">
        <v>279435138</v>
      </c>
      <c r="E88" s="15">
        <f>+D88-C88</f>
        <v>0</v>
      </c>
      <c r="F88" s="65" t="s">
        <v>153</v>
      </c>
    </row>
    <row r="89" spans="1:6" x14ac:dyDescent="0.3">
      <c r="A89" s="66"/>
      <c r="B89" s="38" t="s">
        <v>154</v>
      </c>
      <c r="C89" s="15">
        <f>C88</f>
        <v>279435138</v>
      </c>
      <c r="D89" s="15">
        <f>D88</f>
        <v>279435138</v>
      </c>
      <c r="E89" s="15">
        <f>+D89-C89</f>
        <v>0</v>
      </c>
      <c r="F89" s="65"/>
    </row>
    <row r="90" spans="1:6" x14ac:dyDescent="0.3">
      <c r="A90" s="66"/>
      <c r="B90" s="157"/>
      <c r="C90" s="16"/>
      <c r="D90" s="16"/>
      <c r="E90" s="16"/>
      <c r="F90" s="65"/>
    </row>
    <row r="91" spans="1:6" x14ac:dyDescent="0.3">
      <c r="A91" s="177"/>
      <c r="B91" s="157"/>
      <c r="C91" s="16"/>
      <c r="D91" s="16"/>
      <c r="E91" s="16"/>
    </row>
    <row r="92" spans="1:6" ht="15" thickBot="1" x14ac:dyDescent="0.35"/>
    <row r="93" spans="1:6" x14ac:dyDescent="0.3">
      <c r="A93" s="190">
        <v>4.0999999999999996</v>
      </c>
      <c r="B93" s="191" t="s">
        <v>7</v>
      </c>
      <c r="C93" s="192">
        <v>50000000</v>
      </c>
      <c r="D93" s="192">
        <v>0</v>
      </c>
      <c r="E93" s="192">
        <f>+D93-C93</f>
        <v>-50000000</v>
      </c>
      <c r="F93" s="193" t="s">
        <v>268</v>
      </c>
    </row>
    <row r="94" spans="1:6" x14ac:dyDescent="0.3">
      <c r="A94" s="189"/>
      <c r="B94" s="194" t="s">
        <v>154</v>
      </c>
      <c r="C94" s="43">
        <f>SUM(C93:C93)</f>
        <v>50000000</v>
      </c>
      <c r="D94" s="43">
        <f>SUM(D93:D93)</f>
        <v>0</v>
      </c>
      <c r="E94" s="43">
        <f>SUM(E93:E93)</f>
        <v>-50000000</v>
      </c>
      <c r="F94" s="72"/>
    </row>
    <row r="95" spans="1:6" ht="15" thickBot="1" x14ac:dyDescent="0.35">
      <c r="A95" s="64"/>
      <c r="B95" s="157"/>
      <c r="C95" s="16"/>
      <c r="D95" s="16"/>
      <c r="E95" s="16"/>
      <c r="F95" s="65"/>
    </row>
    <row r="96" spans="1:6" x14ac:dyDescent="0.3">
      <c r="A96" s="64">
        <v>4.0999999999999996</v>
      </c>
      <c r="B96" s="61" t="s">
        <v>7</v>
      </c>
      <c r="C96" s="62">
        <v>0</v>
      </c>
      <c r="D96" s="62">
        <v>150000000</v>
      </c>
      <c r="E96" s="62">
        <f>+D96-C96</f>
        <v>150000000</v>
      </c>
      <c r="F96" s="65"/>
    </row>
    <row r="97" spans="1:6" x14ac:dyDescent="0.3">
      <c r="A97" s="137" t="s">
        <v>164</v>
      </c>
      <c r="B97" s="38" t="s">
        <v>154</v>
      </c>
      <c r="C97" s="15">
        <f>SUM(C96:C96)</f>
        <v>0</v>
      </c>
      <c r="D97" s="15">
        <f>SUM(D96:D96)</f>
        <v>150000000</v>
      </c>
      <c r="E97" s="15">
        <f>SUM(E96:E96)</f>
        <v>150000000</v>
      </c>
      <c r="F97" s="73" t="s">
        <v>269</v>
      </c>
    </row>
    <row r="98" spans="1:6" x14ac:dyDescent="0.3">
      <c r="A98" s="66"/>
      <c r="F98" s="65"/>
    </row>
    <row r="99" spans="1:6" x14ac:dyDescent="0.3">
      <c r="A99" s="66">
        <v>4.2</v>
      </c>
      <c r="B99" s="36" t="s">
        <v>7</v>
      </c>
      <c r="C99" s="15">
        <v>0</v>
      </c>
      <c r="D99" s="15">
        <f>+'POAI PROYECTADO 2024'!F54</f>
        <v>282882462</v>
      </c>
      <c r="E99" s="15">
        <f>+D99-C99</f>
        <v>282882462</v>
      </c>
      <c r="F99" s="65"/>
    </row>
    <row r="100" spans="1:6" x14ac:dyDescent="0.3">
      <c r="A100" s="66"/>
      <c r="B100" s="36" t="s">
        <v>177</v>
      </c>
      <c r="C100" s="15">
        <v>0</v>
      </c>
      <c r="D100" s="15">
        <f>+'POAI PROYECTADO 2024'!F55</f>
        <v>17117538</v>
      </c>
      <c r="E100" s="15">
        <f>+D100-C100</f>
        <v>17117538</v>
      </c>
    </row>
    <row r="101" spans="1:6" x14ac:dyDescent="0.3">
      <c r="A101" s="66"/>
      <c r="B101" s="1"/>
      <c r="C101" s="15">
        <f>SUM(C99:C100)</f>
        <v>0</v>
      </c>
      <c r="D101" s="15">
        <f>SUM(D99:D100)</f>
        <v>300000000</v>
      </c>
      <c r="E101" s="15">
        <f>SUM(E99:E100)</f>
        <v>300000000</v>
      </c>
      <c r="F101" s="73" t="s">
        <v>269</v>
      </c>
    </row>
    <row r="102" spans="1:6" x14ac:dyDescent="0.3">
      <c r="A102" s="66"/>
      <c r="F102" s="65"/>
    </row>
    <row r="103" spans="1:6" x14ac:dyDescent="0.3">
      <c r="A103" s="66">
        <v>4.3</v>
      </c>
      <c r="B103" s="36" t="s">
        <v>177</v>
      </c>
      <c r="C103" s="15">
        <v>260960708</v>
      </c>
      <c r="D103" s="15">
        <f>+'POAI PROYECTADO 2024'!F56</f>
        <v>243843170</v>
      </c>
      <c r="E103" s="15">
        <f t="shared" ref="E103" si="9">+D103-C103</f>
        <v>-17117538</v>
      </c>
      <c r="F103" s="65"/>
    </row>
    <row r="104" spans="1:6" x14ac:dyDescent="0.3">
      <c r="A104" s="66"/>
      <c r="B104" s="50"/>
      <c r="C104" s="52"/>
      <c r="D104" s="52"/>
      <c r="E104" s="52"/>
      <c r="F104" s="65"/>
    </row>
    <row r="105" spans="1:6" ht="15" thickBot="1" x14ac:dyDescent="0.35">
      <c r="A105" s="67"/>
      <c r="B105" s="68" t="s">
        <v>154</v>
      </c>
      <c r="C105" s="53">
        <f>SUM(C103:C103)</f>
        <v>260960708</v>
      </c>
      <c r="D105" s="53">
        <f>SUM(D103:D103)</f>
        <v>243843170</v>
      </c>
      <c r="E105" s="53">
        <f>SUM(E103:E103)</f>
        <v>-17117538</v>
      </c>
      <c r="F105" s="69"/>
    </row>
  </sheetData>
  <mergeCells count="3">
    <mergeCell ref="F51:F53"/>
    <mergeCell ref="F55:F57"/>
    <mergeCell ref="F77:F78"/>
  </mergeCells>
  <phoneticPr fontId="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F50FC-E083-4824-89BC-862636D5C8A0}">
  <dimension ref="B1:H9"/>
  <sheetViews>
    <sheetView workbookViewId="0">
      <selection activeCell="B4" sqref="B4"/>
    </sheetView>
  </sheetViews>
  <sheetFormatPr baseColWidth="10" defaultColWidth="10.77734375" defaultRowHeight="14.4" x14ac:dyDescent="0.3"/>
  <cols>
    <col min="2" max="2" width="27.21875" bestFit="1" customWidth="1"/>
    <col min="3" max="3" width="16.6640625" bestFit="1" customWidth="1"/>
  </cols>
  <sheetData>
    <row r="1" spans="2:8" ht="15.6" x14ac:dyDescent="0.3">
      <c r="B1" s="520" t="s">
        <v>252</v>
      </c>
      <c r="C1" s="520"/>
    </row>
    <row r="2" spans="2:8" x14ac:dyDescent="0.3">
      <c r="B2" s="1" t="s">
        <v>253</v>
      </c>
      <c r="C2" s="26">
        <v>78380000</v>
      </c>
      <c r="E2">
        <f>+C2/11*6</f>
        <v>42752727.272727273</v>
      </c>
    </row>
    <row r="3" spans="2:8" x14ac:dyDescent="0.3">
      <c r="B3" s="1" t="s">
        <v>254</v>
      </c>
      <c r="C3" s="26">
        <v>33320000</v>
      </c>
      <c r="E3">
        <v>16900000</v>
      </c>
      <c r="G3">
        <f>60000*105</f>
        <v>6300000</v>
      </c>
    </row>
    <row r="4" spans="2:8" x14ac:dyDescent="0.3">
      <c r="B4" s="1" t="s">
        <v>255</v>
      </c>
      <c r="C4" s="26">
        <v>4800000</v>
      </c>
      <c r="G4">
        <f>+G3*6</f>
        <v>37800000</v>
      </c>
      <c r="H4" t="s">
        <v>236</v>
      </c>
    </row>
    <row r="5" spans="2:8" x14ac:dyDescent="0.3">
      <c r="B5" s="1" t="s">
        <v>256</v>
      </c>
      <c r="C5" s="26">
        <v>3500000</v>
      </c>
    </row>
    <row r="6" spans="2:8" ht="15.6" x14ac:dyDescent="0.3">
      <c r="B6" s="175" t="s">
        <v>96</v>
      </c>
      <c r="C6" s="176">
        <f>+SUM(C2:C5)</f>
        <v>120000000</v>
      </c>
    </row>
    <row r="8" spans="2:8" x14ac:dyDescent="0.3">
      <c r="C8" s="20">
        <f>+C6-120000000</f>
        <v>0</v>
      </c>
      <c r="D8">
        <v>33320</v>
      </c>
    </row>
    <row r="9" spans="2:8" x14ac:dyDescent="0.3">
      <c r="C9" s="20">
        <f>+C2-C8</f>
        <v>78380000</v>
      </c>
    </row>
  </sheetData>
  <mergeCells count="1">
    <mergeCell ref="B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1224-A5C5-4DAF-9ECC-D86007A9F603}">
  <dimension ref="B1:C5"/>
  <sheetViews>
    <sheetView workbookViewId="0">
      <selection activeCell="C12" sqref="C12"/>
    </sheetView>
  </sheetViews>
  <sheetFormatPr baseColWidth="10" defaultColWidth="10.77734375" defaultRowHeight="14.4" x14ac:dyDescent="0.3"/>
  <cols>
    <col min="2" max="2" width="61.5546875" customWidth="1"/>
    <col min="3" max="3" width="25.5546875" bestFit="1" customWidth="1"/>
  </cols>
  <sheetData>
    <row r="1" spans="2:3" ht="38.4" x14ac:dyDescent="0.3">
      <c r="B1" s="163" t="s">
        <v>231</v>
      </c>
      <c r="C1" s="163" t="s">
        <v>232</v>
      </c>
    </row>
    <row r="2" spans="2:3" ht="69.599999999999994" x14ac:dyDescent="0.3">
      <c r="B2" s="164" t="s">
        <v>116</v>
      </c>
      <c r="C2" s="165">
        <f>+'POAI PROYECTADO 2024'!F16+'POAI PROYECTADO 2024'!F17</f>
        <v>1376640000</v>
      </c>
    </row>
    <row r="3" spans="2:3" ht="52.2" x14ac:dyDescent="0.3">
      <c r="B3" s="164" t="s">
        <v>31</v>
      </c>
      <c r="C3" s="165">
        <f>+'POAI PROYECTADO 2024'!F35</f>
        <v>1006471915.20472</v>
      </c>
    </row>
    <row r="4" spans="2:3" ht="52.2" x14ac:dyDescent="0.3">
      <c r="B4" s="164" t="s">
        <v>47</v>
      </c>
      <c r="C4" s="165">
        <f>+'POAI PROYECTADO 2024'!H56</f>
        <v>243843170</v>
      </c>
    </row>
    <row r="5" spans="2:3" ht="19.2" x14ac:dyDescent="0.3">
      <c r="B5" s="163" t="s">
        <v>96</v>
      </c>
      <c r="C5" s="166">
        <f>+SUM(C2:C4)</f>
        <v>2626955085.20472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89B11-84C4-4722-8E99-7FB5FDA6FFDA}">
  <dimension ref="B1:H33"/>
  <sheetViews>
    <sheetView topLeftCell="A10" zoomScale="90" zoomScaleNormal="90" workbookViewId="0">
      <selection activeCell="C17" sqref="C17:D17"/>
    </sheetView>
  </sheetViews>
  <sheetFormatPr baseColWidth="10" defaultColWidth="10.77734375" defaultRowHeight="14.4" x14ac:dyDescent="0.3"/>
  <cols>
    <col min="2" max="2" width="69.109375" customWidth="1"/>
    <col min="3" max="3" width="20.44140625" bestFit="1" customWidth="1"/>
    <col min="4" max="4" width="18.77734375" customWidth="1"/>
    <col min="5" max="5" width="18.109375" bestFit="1" customWidth="1"/>
    <col min="6" max="6" width="14.5546875" bestFit="1" customWidth="1"/>
    <col min="7" max="7" width="17.44140625" bestFit="1" customWidth="1"/>
    <col min="8" max="8" width="21.5546875" bestFit="1" customWidth="1"/>
  </cols>
  <sheetData>
    <row r="1" spans="2:8" x14ac:dyDescent="0.3">
      <c r="B1" t="s">
        <v>159</v>
      </c>
    </row>
    <row r="3" spans="2:8" x14ac:dyDescent="0.3">
      <c r="D3" s="19"/>
      <c r="E3" s="19"/>
    </row>
    <row r="16" spans="2:8" x14ac:dyDescent="0.3">
      <c r="B16" s="521" t="s">
        <v>211</v>
      </c>
      <c r="C16" s="522" t="s">
        <v>212</v>
      </c>
      <c r="D16" s="522"/>
      <c r="E16" s="522"/>
      <c r="F16" s="522"/>
      <c r="G16" s="522"/>
      <c r="H16" s="522"/>
    </row>
    <row r="17" spans="2:8" ht="55.2" x14ac:dyDescent="0.3">
      <c r="B17" s="521"/>
      <c r="C17" s="147" t="s">
        <v>7</v>
      </c>
      <c r="D17" s="147" t="s">
        <v>177</v>
      </c>
      <c r="E17" s="147" t="s">
        <v>176</v>
      </c>
      <c r="F17" s="147" t="s">
        <v>178</v>
      </c>
      <c r="G17" s="147" t="s">
        <v>179</v>
      </c>
      <c r="H17" s="147" t="s">
        <v>207</v>
      </c>
    </row>
    <row r="18" spans="2:8" x14ac:dyDescent="0.3">
      <c r="B18" s="10" t="s">
        <v>172</v>
      </c>
      <c r="C18" s="148"/>
      <c r="D18" s="148">
        <v>385893745</v>
      </c>
      <c r="E18" s="148">
        <v>2543431729</v>
      </c>
      <c r="F18" s="148"/>
      <c r="G18" s="148"/>
      <c r="H18" s="149">
        <f>SUM(C18:G18)</f>
        <v>2929325474</v>
      </c>
    </row>
    <row r="19" spans="2:8" x14ac:dyDescent="0.3">
      <c r="B19" s="10" t="s">
        <v>173</v>
      </c>
      <c r="C19" s="148">
        <v>432882462</v>
      </c>
      <c r="D19" s="148">
        <v>260960708</v>
      </c>
      <c r="E19" s="148"/>
      <c r="F19" s="148"/>
      <c r="G19" s="148"/>
      <c r="H19" s="149">
        <f>SUM(C19:G19)</f>
        <v>693843170</v>
      </c>
    </row>
    <row r="20" spans="2:8" ht="28.8" x14ac:dyDescent="0.3">
      <c r="B20" s="10" t="s">
        <v>174</v>
      </c>
      <c r="C20" s="148">
        <v>10524833160</v>
      </c>
      <c r="D20" s="148">
        <v>1701536846</v>
      </c>
      <c r="E20" s="148"/>
      <c r="F20" s="148">
        <v>1713166</v>
      </c>
      <c r="G20" s="148"/>
      <c r="H20" s="149">
        <f>SUM(C20:G20)</f>
        <v>12228083172</v>
      </c>
    </row>
    <row r="21" spans="2:8" ht="28.8" x14ac:dyDescent="0.3">
      <c r="B21" s="10" t="s">
        <v>175</v>
      </c>
      <c r="C21" s="148">
        <v>4209933265</v>
      </c>
      <c r="D21" s="148">
        <v>944308622</v>
      </c>
      <c r="E21" s="148"/>
      <c r="F21" s="148"/>
      <c r="G21" s="148">
        <v>713851301</v>
      </c>
      <c r="H21" s="149">
        <f>SUM(C21:G21)</f>
        <v>5868093188</v>
      </c>
    </row>
    <row r="22" spans="2:8" ht="17.399999999999999" x14ac:dyDescent="0.3">
      <c r="B22" s="151" t="s">
        <v>86</v>
      </c>
      <c r="C22" s="12">
        <f>+SUM(C18:C21)</f>
        <v>15167648887</v>
      </c>
      <c r="D22" s="12">
        <f t="shared" ref="D22:G22" si="0">+SUM(D18:D21)</f>
        <v>3292699921</v>
      </c>
      <c r="E22" s="12">
        <f t="shared" si="0"/>
        <v>2543431729</v>
      </c>
      <c r="F22" s="12">
        <f t="shared" si="0"/>
        <v>1713166</v>
      </c>
      <c r="G22" s="12">
        <f t="shared" si="0"/>
        <v>713851301</v>
      </c>
      <c r="H22" s="152">
        <f>+SUM(H18:H21)</f>
        <v>21719345004</v>
      </c>
    </row>
    <row r="23" spans="2:8" x14ac:dyDescent="0.3">
      <c r="C23" s="42"/>
      <c r="D23" s="42"/>
      <c r="E23" s="42"/>
      <c r="F23" s="42"/>
      <c r="G23" s="42"/>
      <c r="H23" s="150"/>
    </row>
    <row r="27" spans="2:8" x14ac:dyDescent="0.3">
      <c r="B27" s="523" t="s">
        <v>210</v>
      </c>
      <c r="C27" s="523"/>
    </row>
    <row r="28" spans="2:8" x14ac:dyDescent="0.3">
      <c r="B28" s="129" t="s">
        <v>208</v>
      </c>
      <c r="C28" s="129" t="s">
        <v>209</v>
      </c>
    </row>
    <row r="29" spans="2:8" x14ac:dyDescent="0.3">
      <c r="B29" s="10" t="s">
        <v>172</v>
      </c>
      <c r="C29" s="154">
        <f>+H18/$H$22</f>
        <v>0.13487172258005539</v>
      </c>
    </row>
    <row r="30" spans="2:8" x14ac:dyDescent="0.3">
      <c r="B30" s="10" t="s">
        <v>173</v>
      </c>
      <c r="C30" s="154">
        <f t="shared" ref="C30:C32" si="1">+H19/$H$22</f>
        <v>3.1945860700321148E-2</v>
      </c>
    </row>
    <row r="31" spans="2:8" ht="28.8" x14ac:dyDescent="0.3">
      <c r="B31" s="10" t="s">
        <v>174</v>
      </c>
      <c r="C31" s="154">
        <f t="shared" si="1"/>
        <v>0.56300423285085177</v>
      </c>
    </row>
    <row r="32" spans="2:8" ht="28.8" x14ac:dyDescent="0.3">
      <c r="B32" s="10" t="s">
        <v>175</v>
      </c>
      <c r="C32" s="154">
        <f t="shared" si="1"/>
        <v>0.27017818386877168</v>
      </c>
    </row>
    <row r="33" spans="2:2" x14ac:dyDescent="0.3">
      <c r="B33" s="153" t="s">
        <v>86</v>
      </c>
    </row>
  </sheetData>
  <mergeCells count="3">
    <mergeCell ref="B16:B17"/>
    <mergeCell ref="C16:H16"/>
    <mergeCell ref="B27:C2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39807-C586-4DC5-8BF9-F1F457056531}">
  <sheetPr>
    <pageSetUpPr fitToPage="1"/>
  </sheetPr>
  <dimension ref="A1:H7"/>
  <sheetViews>
    <sheetView zoomScale="70" zoomScaleNormal="70" workbookViewId="0">
      <selection activeCell="E18" sqref="E18"/>
    </sheetView>
  </sheetViews>
  <sheetFormatPr baseColWidth="10" defaultColWidth="10.77734375" defaultRowHeight="14.4" x14ac:dyDescent="0.3"/>
  <cols>
    <col min="5" max="5" width="33.33203125" bestFit="1" customWidth="1"/>
    <col min="6" max="6" width="40.6640625" customWidth="1"/>
    <col min="7" max="7" width="29.5546875" customWidth="1"/>
    <col min="8" max="8" width="35.88671875" customWidth="1"/>
  </cols>
  <sheetData>
    <row r="1" spans="1:8" s="33" customFormat="1" x14ac:dyDescent="0.3">
      <c r="A1" s="522" t="s">
        <v>160</v>
      </c>
      <c r="B1" s="522"/>
      <c r="C1" s="522"/>
      <c r="D1" s="522"/>
      <c r="E1" s="130" t="s">
        <v>161</v>
      </c>
      <c r="F1" s="130" t="s">
        <v>157</v>
      </c>
      <c r="G1" s="129" t="s">
        <v>162</v>
      </c>
      <c r="H1" s="129" t="s">
        <v>163</v>
      </c>
    </row>
    <row r="2" spans="1:8" x14ac:dyDescent="0.3">
      <c r="A2" s="314" t="s">
        <v>125</v>
      </c>
      <c r="B2" s="314"/>
      <c r="C2" s="314"/>
      <c r="D2" s="314"/>
      <c r="E2" s="15">
        <f>1550000000+66557269.428571-10000000</f>
        <v>1606557269.428571</v>
      </c>
      <c r="F2" s="38" t="s">
        <v>7</v>
      </c>
      <c r="G2" s="133">
        <v>1550000000</v>
      </c>
      <c r="H2" s="134">
        <v>56557269.428570986</v>
      </c>
    </row>
    <row r="3" spans="1:8" ht="27.6" x14ac:dyDescent="0.3">
      <c r="A3" s="314"/>
      <c r="B3" s="314"/>
      <c r="C3" s="314"/>
      <c r="D3" s="314"/>
      <c r="E3" s="15">
        <v>45445282.633454598</v>
      </c>
      <c r="F3" s="38" t="s">
        <v>11</v>
      </c>
      <c r="G3" s="133">
        <v>0</v>
      </c>
      <c r="H3" s="134">
        <v>45445282.633454598</v>
      </c>
    </row>
    <row r="4" spans="1:8" ht="27.6" x14ac:dyDescent="0.3">
      <c r="A4" s="314"/>
      <c r="B4" s="314"/>
      <c r="C4" s="314"/>
      <c r="D4" s="314"/>
      <c r="E4" s="15">
        <f>367821105.854545-60000000</f>
        <v>307821105.854545</v>
      </c>
      <c r="F4" s="38" t="s">
        <v>8</v>
      </c>
      <c r="G4" s="133">
        <v>38664986</v>
      </c>
      <c r="H4" s="134">
        <v>269156119.854545</v>
      </c>
    </row>
    <row r="5" spans="1:8" ht="27.6" x14ac:dyDescent="0.3">
      <c r="A5" s="314"/>
      <c r="B5" s="314"/>
      <c r="C5" s="314"/>
      <c r="D5" s="314"/>
      <c r="E5" s="39">
        <f>1500000000-693012187.44-320000000-E9</f>
        <v>486987812.55999994</v>
      </c>
      <c r="F5" s="38" t="s">
        <v>128</v>
      </c>
      <c r="G5" s="133">
        <v>297163971.72000003</v>
      </c>
      <c r="H5" s="134">
        <v>189823840.83999991</v>
      </c>
    </row>
    <row r="6" spans="1:8" ht="27.6" x14ac:dyDescent="0.3">
      <c r="A6" s="314"/>
      <c r="B6" s="314"/>
      <c r="C6" s="314"/>
      <c r="D6" s="314"/>
      <c r="E6" s="40">
        <f>1000000000+(4359746080-2963266388.49)</f>
        <v>2396479691.5100002</v>
      </c>
      <c r="F6" s="38" t="s">
        <v>119</v>
      </c>
      <c r="G6" s="133">
        <v>2396479691.5100002</v>
      </c>
      <c r="H6" s="134"/>
    </row>
    <row r="7" spans="1:8" s="128" customFormat="1" ht="21" x14ac:dyDescent="0.4">
      <c r="A7" s="524" t="s">
        <v>86</v>
      </c>
      <c r="B7" s="524"/>
      <c r="C7" s="524"/>
      <c r="D7" s="524"/>
      <c r="E7" s="131">
        <f>+SUM(E2:E6)</f>
        <v>4843291161.9865704</v>
      </c>
      <c r="F7" s="132"/>
      <c r="G7" s="131">
        <f>+SUM(G2:G6)</f>
        <v>4282308649.2300005</v>
      </c>
      <c r="H7" s="131">
        <f>+SUM(H2:H6)</f>
        <v>560982512.75657046</v>
      </c>
    </row>
  </sheetData>
  <mergeCells count="3">
    <mergeCell ref="A2:D6"/>
    <mergeCell ref="A1:D1"/>
    <mergeCell ref="A7:D7"/>
  </mergeCells>
  <pageMargins left="0.7" right="0.7" top="0.75" bottom="0.75" header="0.3" footer="0.3"/>
  <pageSetup paperSize="9" scale="70" fitToHeight="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22B8-B42A-43C3-B4AD-72C91C4BAA9E}">
  <dimension ref="A1:J13"/>
  <sheetViews>
    <sheetView workbookViewId="0">
      <selection activeCell="F16" sqref="F16"/>
    </sheetView>
  </sheetViews>
  <sheetFormatPr baseColWidth="10" defaultColWidth="10.77734375" defaultRowHeight="14.4" x14ac:dyDescent="0.3"/>
  <cols>
    <col min="1" max="1" width="22.21875" bestFit="1" customWidth="1"/>
    <col min="2" max="2" width="16.77734375" bestFit="1" customWidth="1"/>
    <col min="6" max="6" width="16.44140625" bestFit="1" customWidth="1"/>
    <col min="10" max="10" width="13.88671875" bestFit="1" customWidth="1"/>
  </cols>
  <sheetData>
    <row r="1" spans="1:10" x14ac:dyDescent="0.3">
      <c r="B1" t="s">
        <v>180</v>
      </c>
      <c r="C1" t="s">
        <v>181</v>
      </c>
      <c r="D1" t="s">
        <v>183</v>
      </c>
      <c r="E1" t="s">
        <v>182</v>
      </c>
      <c r="F1" t="s">
        <v>96</v>
      </c>
      <c r="I1">
        <v>570650000</v>
      </c>
    </row>
    <row r="2" spans="1:10" x14ac:dyDescent="0.3">
      <c r="A2" t="s">
        <v>189</v>
      </c>
      <c r="B2">
        <v>20</v>
      </c>
      <c r="C2">
        <v>2200000</v>
      </c>
      <c r="D2" s="144">
        <v>0.13</v>
      </c>
      <c r="E2">
        <v>12</v>
      </c>
      <c r="F2" s="20">
        <f>+B2*(C2*(1+D2)*E2)</f>
        <v>596639999.99999988</v>
      </c>
      <c r="J2" s="20">
        <f>+F2-I1</f>
        <v>25989999.999999881</v>
      </c>
    </row>
    <row r="3" spans="1:10" x14ac:dyDescent="0.3">
      <c r="F3" s="20"/>
    </row>
    <row r="4" spans="1:10" x14ac:dyDescent="0.3">
      <c r="F4" s="20"/>
      <c r="I4">
        <v>16385000</v>
      </c>
    </row>
    <row r="5" spans="1:10" x14ac:dyDescent="0.3">
      <c r="A5" t="s">
        <v>188</v>
      </c>
      <c r="B5" t="s">
        <v>184</v>
      </c>
      <c r="F5" s="20">
        <v>16385000</v>
      </c>
      <c r="J5" s="20">
        <f>+F6-I4</f>
        <v>2130050</v>
      </c>
    </row>
    <row r="6" spans="1:10" x14ac:dyDescent="0.3">
      <c r="B6" t="s">
        <v>185</v>
      </c>
      <c r="F6" s="20">
        <f>+F5*(1+D2)</f>
        <v>18515050</v>
      </c>
    </row>
    <row r="7" spans="1:10" x14ac:dyDescent="0.3">
      <c r="F7" s="20"/>
    </row>
    <row r="8" spans="1:10" x14ac:dyDescent="0.3">
      <c r="J8" s="20">
        <f>+J2+J5</f>
        <v>28120049.999999881</v>
      </c>
    </row>
    <row r="9" spans="1:10" x14ac:dyDescent="0.3">
      <c r="A9" t="s">
        <v>186</v>
      </c>
      <c r="B9">
        <v>5</v>
      </c>
      <c r="C9">
        <v>5000000</v>
      </c>
      <c r="E9">
        <v>12</v>
      </c>
      <c r="F9" s="20">
        <f>+B9*C9*E9</f>
        <v>300000000</v>
      </c>
      <c r="J9">
        <v>28120049.999999899</v>
      </c>
    </row>
    <row r="10" spans="1:10" x14ac:dyDescent="0.3">
      <c r="A10" t="s">
        <v>187</v>
      </c>
      <c r="B10">
        <v>5</v>
      </c>
      <c r="C10">
        <v>3000000</v>
      </c>
      <c r="E10">
        <v>12</v>
      </c>
      <c r="F10" s="20">
        <f>+B10*C10*E10</f>
        <v>180000000</v>
      </c>
    </row>
    <row r="13" spans="1:10" x14ac:dyDescent="0.3">
      <c r="A13" t="s">
        <v>190</v>
      </c>
      <c r="F13" s="20">
        <f>+F2+F9+F10</f>
        <v>1076640000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EBC47-18E6-4070-986C-82B7BA56EA82}">
  <dimension ref="A1"/>
  <sheetViews>
    <sheetView workbookViewId="0">
      <selection activeCell="A9" sqref="A9"/>
    </sheetView>
  </sheetViews>
  <sheetFormatPr baseColWidth="10" defaultColWidth="10.77734375" defaultRowHeight="14.4"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33DDFE7B29A14A892E482F1394D104" ma:contentTypeVersion="12" ma:contentTypeDescription="Create a new document." ma:contentTypeScope="" ma:versionID="b1fd6b6e1c1a4929c08bba31453a5162">
  <xsd:schema xmlns:xsd="http://www.w3.org/2001/XMLSchema" xmlns:xs="http://www.w3.org/2001/XMLSchema" xmlns:p="http://schemas.microsoft.com/office/2006/metadata/properties" xmlns:ns3="a35c2bcf-bd42-4854-95b7-bb5267db5074" xmlns:ns4="8e7043a0-1f76-45b5-8d50-009d6ffbe6b0" targetNamespace="http://schemas.microsoft.com/office/2006/metadata/properties" ma:root="true" ma:fieldsID="24e9ccf8eff88467fa34b6f76809e4f9" ns3:_="" ns4:_="">
    <xsd:import namespace="a35c2bcf-bd42-4854-95b7-bb5267db5074"/>
    <xsd:import namespace="8e7043a0-1f76-45b5-8d50-009d6ffbe6b0"/>
    <xsd:element name="properties">
      <xsd:complexType>
        <xsd:sequence>
          <xsd:element name="documentManagement">
            <xsd:complexType>
              <xsd:all>
                <xsd:element ref="ns3:MediaServiceMetadata" minOccurs="0"/>
                <xsd:element ref="ns3:MediaServiceFastMetadata" minOccurs="0"/>
                <xsd:element ref="ns3:_activity" minOccurs="0"/>
                <xsd:element ref="ns3:MediaServiceObjectDetectorVersions"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c2bcf-bd42-4854-95b7-bb5267db50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e7043a0-1f76-45b5-8d50-009d6ffbe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a35c2bcf-bd42-4854-95b7-bb5267db5074" xsi:nil="true"/>
  </documentManagement>
</p:properties>
</file>

<file path=customXml/itemProps1.xml><?xml version="1.0" encoding="utf-8"?>
<ds:datastoreItem xmlns:ds="http://schemas.openxmlformats.org/officeDocument/2006/customXml" ds:itemID="{30FF3C11-487A-4D61-8AB6-43FB4539B818}">
  <ds:schemaRefs>
    <ds:schemaRef ds:uri="http://schemas.microsoft.com/sharepoint/v3/contenttype/forms"/>
  </ds:schemaRefs>
</ds:datastoreItem>
</file>

<file path=customXml/itemProps2.xml><?xml version="1.0" encoding="utf-8"?>
<ds:datastoreItem xmlns:ds="http://schemas.openxmlformats.org/officeDocument/2006/customXml" ds:itemID="{92EA0B51-4C6A-4C53-AD7A-B405C5AE1BAB}">
  <ds:schemaRefs>
    <ds:schemaRef ds:uri="http://schemas.microsoft.com/office/2006/metadata/contentType"/>
    <ds:schemaRef ds:uri="http://schemas.microsoft.com/office/2006/metadata/properties/metaAttributes"/>
    <ds:schemaRef ds:uri="http://www.w3.org/2000/xmlns/"/>
    <ds:schemaRef ds:uri="http://www.w3.org/2001/XMLSchema"/>
    <ds:schemaRef ds:uri="a35c2bcf-bd42-4854-95b7-bb5267db5074"/>
    <ds:schemaRef ds:uri="8e7043a0-1f76-45b5-8d50-009d6ffbe6b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11E3FD-5BD0-4F6B-A84B-57DB2FB3F9B9}">
  <ds:schemaRefs>
    <ds:schemaRef ds:uri="http://schemas.microsoft.com/office/2006/documentManagement/types"/>
    <ds:schemaRef ds:uri="8e7043a0-1f76-45b5-8d50-009d6ffbe6b0"/>
    <ds:schemaRef ds:uri="http://www.w3.org/XML/1998/namespace"/>
    <ds:schemaRef ds:uri="a35c2bcf-bd42-4854-95b7-bb5267db5074"/>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POAI PROYECTADO 2023</vt:lpstr>
      <vt:lpstr>POAI PROYECTADO 2024</vt:lpstr>
      <vt:lpstr>CONTROL DE CAMBIOS</vt:lpstr>
      <vt:lpstr>GASTOS DE PLAYA AZUL</vt:lpstr>
      <vt:lpstr>PERSONAL APOYO</vt:lpstr>
      <vt:lpstr>PPTO 2024</vt:lpstr>
      <vt:lpstr>Hoja3</vt:lpstr>
      <vt:lpstr>PERSONAL 123 2024</vt:lpstr>
      <vt:lpstr>GF 2024</vt:lpstr>
      <vt:lpstr>INV 2024</vt:lpstr>
      <vt:lpstr>OPS</vt:lpstr>
      <vt:lpstr>Hoja1</vt:lpstr>
      <vt:lpstr>INVERSION 2023</vt:lpstr>
      <vt:lpstr>ARRIENDOS</vt:lpstr>
      <vt:lpstr>ESTACIONES Y CAI</vt:lpstr>
      <vt:lpstr>COMISION RECAUDO</vt:lpstr>
      <vt:lpstr>'POAI PROYECTADO 2023'!Área_de_impresión</vt:lpstr>
      <vt:lpstr>'POAI PROYECTADO 2024'!Área_de_impresión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PLANEACION</cp:lastModifiedBy>
  <cp:lastPrinted>2024-01-30T16:42:44Z</cp:lastPrinted>
  <dcterms:created xsi:type="dcterms:W3CDTF">2022-11-10T13:59:46Z</dcterms:created>
  <dcterms:modified xsi:type="dcterms:W3CDTF">2024-01-30T17:09:43Z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0x0101002E33DDFE7B29A14A892E482F1394D104</vt:lpwstr>
  </property>
</Properties>
</file>